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go_4rxkphw\Desktop\MILM\13. ESTUDIOS PREVIOS DE TUNEL 19\1. Actualización GPT 2020\1. Presupuesto y cronograma\"/>
    </mc:Choice>
  </mc:AlternateContent>
  <bookViews>
    <workbookView xWindow="-120" yWindow="-120" windowWidth="24240" windowHeight="13140" activeTab="1"/>
  </bookViews>
  <sheets>
    <sheet name="OFERTA" sheetId="16" r:id="rId1"/>
    <sheet name="GPT-R-021" sheetId="15" r:id="rId2"/>
    <sheet name="PRESUPUESTO" sheetId="7" state="hidden" r:id="rId3"/>
    <sheet name="APU" sheetId="8" r:id="rId4"/>
    <sheet name="M.O 2018" sheetId="9" state="hidden" r:id="rId5"/>
    <sheet name="M.O 2020" sheetId="11" r:id="rId6"/>
    <sheet name="especiales " sheetId="14" r:id="rId7"/>
    <sheet name="CANTIDADES" sheetId="10" r:id="rId8"/>
  </sheets>
  <externalReferences>
    <externalReference r:id="rId9"/>
    <externalReference r:id="rId10"/>
    <externalReference r:id="rId11"/>
  </externalReferences>
  <definedNames>
    <definedName name="_xlnm._FilterDatabase" localSheetId="3" hidden="1">APU!#REF!</definedName>
    <definedName name="_xlnm._FilterDatabase" localSheetId="6" hidden="1">'especiales '!#REF!</definedName>
    <definedName name="_INF1" localSheetId="6">'[1]Diseño Chequeo LETRAS qmh Per'!#REF!</definedName>
    <definedName name="_INF1" localSheetId="0">'[1]Diseño Chequeo LETRAS qmh Per'!#REF!</definedName>
    <definedName name="_INF1" localSheetId="2">#REF!</definedName>
    <definedName name="_INF1">'[1]Diseño Chequeo LETRAS qmh Per'!#REF!</definedName>
    <definedName name="_INF2" localSheetId="6">'[1]Diseño Chequeo LETRAS qmh Per'!#REF!</definedName>
    <definedName name="_INF2" localSheetId="0">'[1]Diseño Chequeo LETRAS qmh Per'!#REF!</definedName>
    <definedName name="_INF2" localSheetId="2">#REF!</definedName>
    <definedName name="_INF2">'[1]Diseño Chequeo LETRAS qmh Per'!#REF!</definedName>
    <definedName name="_INF3" localSheetId="6">'[1]Diseño Chequeo LETRAS qmh Per'!#REF!</definedName>
    <definedName name="_INF3" localSheetId="0">'[1]Diseño Chequeo LETRAS qmh Per'!#REF!</definedName>
    <definedName name="_INF3" localSheetId="2">#REF!</definedName>
    <definedName name="_INF3">'[1]Diseño Chequeo LETRAS qmh Per'!#REF!</definedName>
    <definedName name="A" localSheetId="6">'[2]Diseño Chequeo LETRAS qmh Per'!#REF!</definedName>
    <definedName name="A" localSheetId="0">'[2]Diseño Chequeo LETRAS qmh Per'!#REF!</definedName>
    <definedName name="A">'[2]Diseño Chequeo LETRAS qmh Per'!#REF!</definedName>
    <definedName name="_xlnm.Print_Area" localSheetId="3">APU!$A$1:$I$990</definedName>
    <definedName name="_xlnm.Print_Area" localSheetId="6">'especiales '!$A$15:$D$23</definedName>
    <definedName name="_xlnm.Print_Area" localSheetId="1">'GPT-R-021'!$A$1:$K$145</definedName>
    <definedName name="_xlnm.Print_Area" localSheetId="0">OFERTA!$A$1:$K$145</definedName>
    <definedName name="_xlnm.Print_Area" localSheetId="2">PRESUPUESTO!$A$1:$G$105</definedName>
    <definedName name="base">[3]BASE!$A$5:$C$1000</definedName>
    <definedName name="_xlnm.Print_Titles" localSheetId="3">APU!$1:$8</definedName>
    <definedName name="_xlnm.Print_Titles" localSheetId="1">'GPT-R-021'!$1:$11</definedName>
    <definedName name="_xlnm.Print_Titles" localSheetId="0">OFERTA!$1:$11</definedName>
    <definedName name="_xlnm.Print_Titles" localSheetId="2">PRESUPUESTO!$1:$7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16" l="1"/>
  <c r="D116" i="16"/>
  <c r="H108" i="16"/>
  <c r="H105" i="16" l="1"/>
  <c r="H109" i="16" s="1"/>
  <c r="H110" i="16" s="1"/>
  <c r="H134" i="16"/>
  <c r="H130" i="15"/>
  <c r="H129" i="15"/>
  <c r="H128" i="15"/>
  <c r="D124" i="15"/>
  <c r="D116" i="15"/>
  <c r="H108" i="15"/>
  <c r="H107" i="16" l="1"/>
  <c r="H112" i="16"/>
  <c r="H135" i="16" s="1"/>
  <c r="H136" i="16" s="1"/>
  <c r="H124" i="15"/>
  <c r="H118" i="15"/>
  <c r="H121" i="15"/>
  <c r="H123" i="15"/>
  <c r="H119" i="15"/>
  <c r="H122" i="15"/>
  <c r="H127" i="15"/>
  <c r="H116" i="15"/>
  <c r="H117" i="15"/>
  <c r="B16" i="11"/>
  <c r="C4" i="11"/>
  <c r="H115" i="15" l="1"/>
  <c r="H134" i="15" s="1"/>
  <c r="E292" i="8"/>
  <c r="E263" i="8"/>
  <c r="E849" i="8"/>
  <c r="E790" i="8"/>
  <c r="E882" i="8" l="1"/>
  <c r="E881" i="8"/>
  <c r="E653" i="8"/>
  <c r="E624" i="8"/>
  <c r="I580" i="8"/>
  <c r="H580" i="8"/>
  <c r="G580" i="8"/>
  <c r="F580" i="8"/>
  <c r="I554" i="8"/>
  <c r="H554" i="8"/>
  <c r="F554" i="8"/>
  <c r="G554" i="8"/>
  <c r="D539" i="8"/>
  <c r="G539" i="8" s="1"/>
  <c r="I539" i="8"/>
  <c r="H539" i="8"/>
  <c r="F539" i="8"/>
  <c r="E538" i="8"/>
  <c r="G524" i="8"/>
  <c r="E523" i="8"/>
  <c r="E491" i="8"/>
  <c r="E305" i="8"/>
  <c r="E389" i="8" l="1"/>
  <c r="E409" i="8" s="1"/>
  <c r="E964" i="8"/>
  <c r="E906" i="8"/>
  <c r="E904" i="8"/>
  <c r="E902" i="8"/>
  <c r="E901" i="8"/>
  <c r="I746" i="8"/>
  <c r="H746" i="8"/>
  <c r="G746" i="8"/>
  <c r="F746" i="8"/>
  <c r="E425" i="8"/>
  <c r="E403" i="8"/>
  <c r="E460" i="8" s="1"/>
  <c r="E896" i="8" s="1"/>
  <c r="E897" i="8" s="1"/>
  <c r="E365" i="8"/>
  <c r="E384" i="8" s="1"/>
  <c r="E404" i="8" s="1"/>
  <c r="E422" i="8" s="1"/>
  <c r="E438" i="8" s="1"/>
  <c r="E458" i="8" s="1"/>
  <c r="E665" i="8" s="1"/>
  <c r="E770" i="8" s="1"/>
  <c r="E331" i="8"/>
  <c r="E277" i="8"/>
  <c r="E278" i="8" s="1"/>
  <c r="E265" i="8"/>
  <c r="E264" i="8"/>
  <c r="E249" i="8"/>
  <c r="I250" i="8"/>
  <c r="H250" i="8"/>
  <c r="G250" i="8"/>
  <c r="F250" i="8"/>
  <c r="E235" i="8"/>
  <c r="I236" i="8"/>
  <c r="H236" i="8"/>
  <c r="G236" i="8"/>
  <c r="F236" i="8"/>
  <c r="E79" i="8"/>
  <c r="E664" i="8" l="1"/>
  <c r="D75" i="14"/>
  <c r="D179" i="14"/>
  <c r="D180" i="14"/>
  <c r="D181" i="14"/>
  <c r="D182" i="14"/>
  <c r="D178" i="14"/>
  <c r="D174" i="14"/>
  <c r="D169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40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18" i="14"/>
  <c r="D113" i="14"/>
  <c r="D114" i="14"/>
  <c r="D112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90" i="14"/>
  <c r="D85" i="14"/>
  <c r="D84" i="14"/>
  <c r="D76" i="14"/>
  <c r="D77" i="14"/>
  <c r="D78" i="14"/>
  <c r="D79" i="14"/>
  <c r="D80" i="14"/>
  <c r="D71" i="14"/>
  <c r="D70" i="14"/>
  <c r="D66" i="14"/>
  <c r="D65" i="14"/>
  <c r="D61" i="14"/>
  <c r="D60" i="14"/>
  <c r="D56" i="14"/>
  <c r="D55" i="14"/>
  <c r="D50" i="14"/>
  <c r="D51" i="14"/>
  <c r="D49" i="14"/>
  <c r="D43" i="14"/>
  <c r="D44" i="14"/>
  <c r="D45" i="14"/>
  <c r="D42" i="14"/>
  <c r="D38" i="14"/>
  <c r="D34" i="14"/>
  <c r="D30" i="14"/>
  <c r="D26" i="14"/>
  <c r="D22" i="14"/>
  <c r="D17" i="14"/>
  <c r="D5" i="14"/>
  <c r="D6" i="14"/>
  <c r="D7" i="14"/>
  <c r="D8" i="14"/>
  <c r="D9" i="14"/>
  <c r="D10" i="14"/>
  <c r="D11" i="14"/>
  <c r="D12" i="14"/>
  <c r="D13" i="14"/>
  <c r="D4" i="14"/>
  <c r="E133" i="8" s="1"/>
  <c r="G4" i="14"/>
  <c r="E696" i="8" l="1"/>
  <c r="E134" i="8" l="1"/>
  <c r="G6" i="14"/>
  <c r="H6" i="14" s="1"/>
  <c r="G7" i="14"/>
  <c r="H7" i="14" s="1"/>
  <c r="G8" i="14"/>
  <c r="H8" i="14" s="1"/>
  <c r="G9" i="14"/>
  <c r="H9" i="14" s="1"/>
  <c r="G10" i="14"/>
  <c r="H10" i="14" s="1"/>
  <c r="G11" i="14"/>
  <c r="H11" i="14" s="1"/>
  <c r="G12" i="14"/>
  <c r="H12" i="14" s="1"/>
  <c r="G13" i="14"/>
  <c r="H13" i="14" s="1"/>
  <c r="B5" i="14"/>
  <c r="B6" i="14"/>
  <c r="B7" i="14"/>
  <c r="B8" i="14"/>
  <c r="B9" i="14"/>
  <c r="B10" i="14"/>
  <c r="B11" i="14"/>
  <c r="B12" i="14"/>
  <c r="B13" i="14"/>
  <c r="B4" i="14"/>
  <c r="A11" i="14"/>
  <c r="A12" i="14"/>
  <c r="A13" i="14"/>
  <c r="A5" i="14"/>
  <c r="A6" i="14"/>
  <c r="A7" i="14"/>
  <c r="A8" i="14"/>
  <c r="A9" i="14"/>
  <c r="A10" i="14"/>
  <c r="A4" i="14"/>
  <c r="E697" i="8"/>
  <c r="E938" i="8"/>
  <c r="E332" i="8"/>
  <c r="E424" i="8"/>
  <c r="G17" i="14"/>
  <c r="H17" i="14" s="1"/>
  <c r="E319" i="8"/>
  <c r="E137" i="8" l="1"/>
  <c r="G5" i="14"/>
  <c r="H5" i="14" s="1"/>
  <c r="E142" i="8"/>
  <c r="E144" i="8"/>
  <c r="E138" i="8"/>
  <c r="E139" i="8"/>
  <c r="E143" i="8"/>
  <c r="E135" i="8"/>
  <c r="E140" i="8"/>
  <c r="G26" i="14"/>
  <c r="H26" i="14" s="1"/>
  <c r="E293" i="8"/>
  <c r="E839" i="8"/>
  <c r="E838" i="8"/>
  <c r="E837" i="8"/>
  <c r="E836" i="8"/>
  <c r="E835" i="8"/>
  <c r="E834" i="8"/>
  <c r="E833" i="8"/>
  <c r="E832" i="8"/>
  <c r="E831" i="8"/>
  <c r="G174" i="14"/>
  <c r="H174" i="14" s="1"/>
  <c r="E828" i="8"/>
  <c r="E826" i="8"/>
  <c r="G150" i="14"/>
  <c r="H150" i="14" s="1"/>
  <c r="E824" i="8"/>
  <c r="E823" i="8"/>
  <c r="E822" i="8"/>
  <c r="E821" i="8"/>
  <c r="E817" i="8"/>
  <c r="E816" i="8"/>
  <c r="E815" i="8"/>
  <c r="E813" i="8"/>
  <c r="E803" i="8"/>
  <c r="E802" i="8"/>
  <c r="E801" i="8"/>
  <c r="E800" i="8"/>
  <c r="E799" i="8"/>
  <c r="E798" i="8"/>
  <c r="E797" i="8"/>
  <c r="E795" i="8"/>
  <c r="E794" i="8"/>
  <c r="E793" i="8"/>
  <c r="E792" i="8"/>
  <c r="E791" i="8"/>
  <c r="E786" i="8"/>
  <c r="E784" i="8"/>
  <c r="E783" i="8"/>
  <c r="E651" i="8"/>
  <c r="E640" i="8"/>
  <c r="E711" i="8"/>
  <c r="E710" i="8"/>
  <c r="E709" i="8"/>
  <c r="E708" i="8"/>
  <c r="E705" i="8"/>
  <c r="E704" i="8"/>
  <c r="E703" i="8"/>
  <c r="E702" i="8"/>
  <c r="E701" i="8"/>
  <c r="E639" i="8"/>
  <c r="E638" i="8"/>
  <c r="E637" i="8"/>
  <c r="E636" i="8"/>
  <c r="E610" i="8"/>
  <c r="E459" i="8"/>
  <c r="G91" i="14" l="1"/>
  <c r="H91" i="14" s="1"/>
  <c r="E698" i="8"/>
  <c r="G92" i="14"/>
  <c r="H92" i="14" s="1"/>
  <c r="E699" i="8"/>
  <c r="G164" i="14"/>
  <c r="H164" i="14" s="1"/>
  <c r="G152" i="14"/>
  <c r="H152" i="14" s="1"/>
  <c r="E827" i="8"/>
  <c r="G154" i="14"/>
  <c r="H154" i="14" s="1"/>
  <c r="E829" i="8"/>
  <c r="G114" i="14"/>
  <c r="H114" i="14" s="1"/>
  <c r="E732" i="8"/>
  <c r="G146" i="14"/>
  <c r="H146" i="14" s="1"/>
  <c r="G112" i="14"/>
  <c r="H112" i="14" s="1"/>
  <c r="E730" i="8"/>
  <c r="G113" i="14"/>
  <c r="H113" i="14" s="1"/>
  <c r="E731" i="8"/>
  <c r="G103" i="14"/>
  <c r="H103" i="14" s="1"/>
  <c r="E713" i="8"/>
  <c r="G107" i="14"/>
  <c r="H107" i="14" s="1"/>
  <c r="E717" i="8"/>
  <c r="G75" i="14"/>
  <c r="H75" i="14" s="1"/>
  <c r="G104" i="14"/>
  <c r="H104" i="14" s="1"/>
  <c r="E714" i="8"/>
  <c r="G108" i="14"/>
  <c r="H108" i="14" s="1"/>
  <c r="E718" i="8"/>
  <c r="G105" i="14"/>
  <c r="H105" i="14" s="1"/>
  <c r="E715" i="8"/>
  <c r="G102" i="14"/>
  <c r="H102" i="14" s="1"/>
  <c r="E712" i="8"/>
  <c r="G106" i="14"/>
  <c r="H106" i="14" s="1"/>
  <c r="E716" i="8"/>
  <c r="G45" i="14"/>
  <c r="H45" i="14" s="1"/>
  <c r="E496" i="8"/>
  <c r="G49" i="14"/>
  <c r="H49" i="14" s="1"/>
  <c r="E507" i="8"/>
  <c r="G66" i="14"/>
  <c r="H66" i="14" s="1"/>
  <c r="E556" i="8"/>
  <c r="G80" i="14"/>
  <c r="H80" i="14" s="1"/>
  <c r="E641" i="8"/>
  <c r="F641" i="8" s="1"/>
  <c r="G157" i="14"/>
  <c r="H157" i="14" s="1"/>
  <c r="G43" i="14"/>
  <c r="H43" i="14" s="1"/>
  <c r="E494" i="8"/>
  <c r="G50" i="14"/>
  <c r="H50" i="14" s="1"/>
  <c r="E509" i="8"/>
  <c r="G60" i="14"/>
  <c r="H60" i="14" s="1"/>
  <c r="E540" i="8"/>
  <c r="G179" i="14"/>
  <c r="H179" i="14" s="1"/>
  <c r="E978" i="8"/>
  <c r="G162" i="14"/>
  <c r="H162" i="14" s="1"/>
  <c r="G34" i="14"/>
  <c r="H34" i="14" s="1"/>
  <c r="E441" i="8"/>
  <c r="G44" i="14"/>
  <c r="H44" i="14" s="1"/>
  <c r="E495" i="8"/>
  <c r="G51" i="14"/>
  <c r="H51" i="14" s="1"/>
  <c r="E511" i="8"/>
  <c r="G61" i="14"/>
  <c r="H61" i="14" s="1"/>
  <c r="E541" i="8"/>
  <c r="G71" i="14"/>
  <c r="H71" i="14" s="1"/>
  <c r="E611" i="8"/>
  <c r="G85" i="14"/>
  <c r="H85" i="14" s="1"/>
  <c r="E652" i="8"/>
  <c r="G169" i="14"/>
  <c r="H169" i="14" s="1"/>
  <c r="E851" i="8"/>
  <c r="G180" i="14"/>
  <c r="H180" i="14" s="1"/>
  <c r="E979" i="8"/>
  <c r="G55" i="14"/>
  <c r="H55" i="14" s="1"/>
  <c r="E525" i="8"/>
  <c r="G65" i="14"/>
  <c r="H65" i="14" s="1"/>
  <c r="E555" i="8"/>
  <c r="G181" i="14"/>
  <c r="H181" i="14" s="1"/>
  <c r="E981" i="8"/>
  <c r="G42" i="14"/>
  <c r="H42" i="14" s="1"/>
  <c r="E493" i="8"/>
  <c r="G56" i="14"/>
  <c r="H56" i="14" s="1"/>
  <c r="E526" i="8"/>
  <c r="G178" i="14"/>
  <c r="H178" i="14" s="1"/>
  <c r="E977" i="8"/>
  <c r="G182" i="14"/>
  <c r="H182" i="14" s="1"/>
  <c r="E982" i="8"/>
  <c r="G101" i="14"/>
  <c r="H101" i="14" s="1"/>
  <c r="G156" i="14"/>
  <c r="H156" i="14" s="1"/>
  <c r="E307" i="8"/>
  <c r="G95" i="14"/>
  <c r="H95" i="14" s="1"/>
  <c r="G30" i="14"/>
  <c r="H30" i="14" s="1"/>
  <c r="G79" i="14"/>
  <c r="H79" i="14" s="1"/>
  <c r="G118" i="14"/>
  <c r="H118" i="14" s="1"/>
  <c r="G127" i="14"/>
  <c r="H127" i="14" s="1"/>
  <c r="G136" i="14"/>
  <c r="H136" i="14" s="1"/>
  <c r="G141" i="14"/>
  <c r="H141" i="14" s="1"/>
  <c r="G132" i="14"/>
  <c r="H132" i="14" s="1"/>
  <c r="G76" i="14"/>
  <c r="H76" i="14" s="1"/>
  <c r="G96" i="14"/>
  <c r="H96" i="14" s="1"/>
  <c r="G98" i="14"/>
  <c r="H98" i="14" s="1"/>
  <c r="G121" i="14"/>
  <c r="H121" i="14" s="1"/>
  <c r="G126" i="14"/>
  <c r="H126" i="14" s="1"/>
  <c r="G131" i="14"/>
  <c r="H131" i="14" s="1"/>
  <c r="G135" i="14"/>
  <c r="H135" i="14" s="1"/>
  <c r="G142" i="14"/>
  <c r="H142" i="14" s="1"/>
  <c r="G151" i="14"/>
  <c r="H151" i="14" s="1"/>
  <c r="G70" i="14"/>
  <c r="H70" i="14" s="1"/>
  <c r="G77" i="14"/>
  <c r="H77" i="14" s="1"/>
  <c r="G93" i="14"/>
  <c r="H93" i="14" s="1"/>
  <c r="G97" i="14"/>
  <c r="H97" i="14" s="1"/>
  <c r="G99" i="14"/>
  <c r="H99" i="14" s="1"/>
  <c r="G143" i="14"/>
  <c r="H143" i="14" s="1"/>
  <c r="G148" i="14"/>
  <c r="H148" i="14" s="1"/>
  <c r="G163" i="14"/>
  <c r="H163" i="14" s="1"/>
  <c r="G147" i="14"/>
  <c r="H147" i="14" s="1"/>
  <c r="G38" i="14"/>
  <c r="H38" i="14" s="1"/>
  <c r="G78" i="14"/>
  <c r="H78" i="14" s="1"/>
  <c r="G94" i="14"/>
  <c r="H94" i="14" s="1"/>
  <c r="G100" i="14"/>
  <c r="H100" i="14" s="1"/>
  <c r="G90" i="14"/>
  <c r="H90" i="14" s="1"/>
  <c r="G119" i="14"/>
  <c r="H119" i="14" s="1"/>
  <c r="G124" i="14"/>
  <c r="H124" i="14" s="1"/>
  <c r="G128" i="14"/>
  <c r="H128" i="14" s="1"/>
  <c r="G133" i="14"/>
  <c r="H133" i="14" s="1"/>
  <c r="G140" i="14"/>
  <c r="H140" i="14" s="1"/>
  <c r="G144" i="14"/>
  <c r="H144" i="14" s="1"/>
  <c r="G149" i="14"/>
  <c r="H149" i="14" s="1"/>
  <c r="G153" i="14"/>
  <c r="H153" i="14" s="1"/>
  <c r="G160" i="14"/>
  <c r="H160" i="14" s="1"/>
  <c r="G158" i="14"/>
  <c r="H158" i="14" s="1"/>
  <c r="G84" i="14"/>
  <c r="H84" i="14" s="1"/>
  <c r="G120" i="14"/>
  <c r="H120" i="14" s="1"/>
  <c r="G125" i="14"/>
  <c r="H125" i="14" s="1"/>
  <c r="G130" i="14"/>
  <c r="H130" i="14" s="1"/>
  <c r="G134" i="14"/>
  <c r="H134" i="14" s="1"/>
  <c r="G161" i="14"/>
  <c r="H161" i="14" s="1"/>
  <c r="G159" i="14"/>
  <c r="H159" i="14" s="1"/>
  <c r="G318" i="8"/>
  <c r="G317" i="8"/>
  <c r="G22" i="14"/>
  <c r="H22" i="14" s="1"/>
  <c r="E868" i="8" l="1"/>
  <c r="F439" i="8" l="1"/>
  <c r="G439" i="8"/>
  <c r="H439" i="8"/>
  <c r="I439" i="8"/>
  <c r="H342" i="8"/>
  <c r="G59" i="8" l="1"/>
  <c r="H673" i="8"/>
  <c r="B14" i="11" l="1"/>
  <c r="C14" i="11" s="1"/>
  <c r="B8" i="11"/>
  <c r="C8" i="11" s="1"/>
  <c r="E870" i="8"/>
  <c r="E922" i="8"/>
  <c r="B922" i="8"/>
  <c r="E949" i="8"/>
  <c r="E684" i="8"/>
  <c r="B15" i="11"/>
  <c r="C15" i="11" s="1"/>
  <c r="E477" i="8"/>
  <c r="E219" i="8"/>
  <c r="E30" i="8"/>
  <c r="E16" i="8"/>
  <c r="C17" i="11"/>
  <c r="B10" i="11"/>
  <c r="C10" i="11" s="1"/>
  <c r="B7" i="11"/>
  <c r="E857" i="8" s="1"/>
  <c r="C9" i="11"/>
  <c r="B6" i="11"/>
  <c r="B12" i="11" s="1"/>
  <c r="E367" i="8" s="1"/>
  <c r="B5" i="11"/>
  <c r="C5" i="11" s="1"/>
  <c r="E939" i="8"/>
  <c r="E192" i="8" l="1"/>
  <c r="E980" i="8"/>
  <c r="E238" i="8"/>
  <c r="E743" i="8"/>
  <c r="E654" i="8"/>
  <c r="E759" i="8"/>
  <c r="B11" i="11"/>
  <c r="E386" i="8" s="1"/>
  <c r="E93" i="8"/>
  <c r="E106" i="8"/>
  <c r="E253" i="8"/>
  <c r="E883" i="8"/>
  <c r="E168" i="8"/>
  <c r="C16" i="11"/>
  <c r="E337" i="8"/>
  <c r="E320" i="8"/>
  <c r="E354" i="8"/>
  <c r="E512" i="8"/>
  <c r="E121" i="8"/>
  <c r="E206" i="8"/>
  <c r="E568" i="8"/>
  <c r="C7" i="11"/>
  <c r="B13" i="11"/>
  <c r="E76" i="8"/>
  <c r="E156" i="8"/>
  <c r="E279" i="8"/>
  <c r="C12" i="11"/>
  <c r="C6" i="11"/>
  <c r="E59" i="8" s="1"/>
  <c r="H584" i="10"/>
  <c r="L583" i="10"/>
  <c r="K583" i="10"/>
  <c r="N583" i="10" s="1"/>
  <c r="Q583" i="10" s="1"/>
  <c r="L582" i="10"/>
  <c r="K582" i="10"/>
  <c r="N582" i="10" s="1"/>
  <c r="Q582" i="10" s="1"/>
  <c r="L581" i="10"/>
  <c r="K581" i="10"/>
  <c r="N581" i="10" s="1"/>
  <c r="Q581" i="10" s="1"/>
  <c r="L580" i="10"/>
  <c r="K580" i="10"/>
  <c r="N580" i="10" s="1"/>
  <c r="Q580" i="10" s="1"/>
  <c r="L579" i="10"/>
  <c r="K579" i="10"/>
  <c r="N579" i="10" s="1"/>
  <c r="Q579" i="10" s="1"/>
  <c r="L578" i="10"/>
  <c r="K578" i="10"/>
  <c r="N578" i="10" s="1"/>
  <c r="Q578" i="10" s="1"/>
  <c r="P577" i="10"/>
  <c r="K577" i="10"/>
  <c r="N577" i="10" s="1"/>
  <c r="L576" i="10"/>
  <c r="K576" i="10"/>
  <c r="N576" i="10" s="1"/>
  <c r="Q576" i="10" s="1"/>
  <c r="L575" i="10"/>
  <c r="K575" i="10"/>
  <c r="N575" i="10" s="1"/>
  <c r="Q575" i="10" s="1"/>
  <c r="P574" i="10"/>
  <c r="K574" i="10"/>
  <c r="N574" i="10" s="1"/>
  <c r="G584" i="10"/>
  <c r="E97" i="7" s="1"/>
  <c r="D584" i="10"/>
  <c r="B583" i="10"/>
  <c r="B582" i="10"/>
  <c r="B581" i="10"/>
  <c r="B580" i="10"/>
  <c r="B579" i="10"/>
  <c r="B578" i="10"/>
  <c r="B577" i="10"/>
  <c r="B576" i="10"/>
  <c r="I559" i="10"/>
  <c r="I551" i="10"/>
  <c r="I552" i="10" s="1"/>
  <c r="C11" i="11" l="1"/>
  <c r="E597" i="8"/>
  <c r="E266" i="8"/>
  <c r="E772" i="8"/>
  <c r="E910" i="8"/>
  <c r="E625" i="8"/>
  <c r="E965" i="8"/>
  <c r="E406" i="8"/>
  <c r="E667" i="8"/>
  <c r="E294" i="8"/>
  <c r="E44" i="8"/>
  <c r="E583" i="8"/>
  <c r="E462" i="8"/>
  <c r="E447" i="8"/>
  <c r="C13" i="11"/>
  <c r="E426" i="8"/>
  <c r="E180" i="8"/>
  <c r="L577" i="10"/>
  <c r="P575" i="10"/>
  <c r="R575" i="10" s="1"/>
  <c r="L574" i="10"/>
  <c r="L584" i="10" s="1"/>
  <c r="O574" i="10"/>
  <c r="O577" i="10"/>
  <c r="Q574" i="10"/>
  <c r="R574" i="10" s="1"/>
  <c r="Q577" i="10"/>
  <c r="R577" i="10" s="1"/>
  <c r="O576" i="10"/>
  <c r="O578" i="10"/>
  <c r="O582" i="10"/>
  <c r="P581" i="10"/>
  <c r="R581" i="10" s="1"/>
  <c r="P582" i="10"/>
  <c r="R582" i="10" s="1"/>
  <c r="O579" i="10"/>
  <c r="P578" i="10"/>
  <c r="R578" i="10" s="1"/>
  <c r="P576" i="10"/>
  <c r="R576" i="10" s="1"/>
  <c r="P583" i="10"/>
  <c r="R583" i="10" s="1"/>
  <c r="P579" i="10"/>
  <c r="R579" i="10" s="1"/>
  <c r="P580" i="10"/>
  <c r="R580" i="10" s="1"/>
  <c r="O580" i="10"/>
  <c r="O583" i="10"/>
  <c r="O575" i="10"/>
  <c r="O581" i="10"/>
  <c r="I546" i="10"/>
  <c r="I545" i="10"/>
  <c r="I544" i="10"/>
  <c r="I521" i="10"/>
  <c r="I520" i="10"/>
  <c r="I518" i="10"/>
  <c r="E517" i="10"/>
  <c r="E533" i="10"/>
  <c r="E532" i="10"/>
  <c r="I532" i="10" s="1"/>
  <c r="E530" i="10"/>
  <c r="E528" i="10"/>
  <c r="E529" i="10" s="1"/>
  <c r="I510" i="10"/>
  <c r="I509" i="10"/>
  <c r="I507" i="10"/>
  <c r="E506" i="10"/>
  <c r="E523" i="10" s="1"/>
  <c r="B502" i="10"/>
  <c r="I476" i="10"/>
  <c r="E531" i="10" l="1"/>
  <c r="E534" i="10"/>
  <c r="I534" i="10" s="1"/>
  <c r="K534" i="10" s="1"/>
  <c r="L534" i="10" s="1"/>
  <c r="I547" i="10"/>
  <c r="E89" i="7" s="1"/>
  <c r="K518" i="10"/>
  <c r="L518" i="10" s="1"/>
  <c r="R584" i="10"/>
  <c r="E99" i="7" s="1"/>
  <c r="O584" i="10"/>
  <c r="K520" i="10"/>
  <c r="L520" i="10" s="1"/>
  <c r="E522" i="10"/>
  <c r="I522" i="10" s="1"/>
  <c r="K522" i="10" s="1"/>
  <c r="L522" i="10" s="1"/>
  <c r="E511" i="10"/>
  <c r="I511" i="10" s="1"/>
  <c r="K511" i="10" s="1"/>
  <c r="L511" i="10" s="1"/>
  <c r="K529" i="10"/>
  <c r="L529" i="10" s="1"/>
  <c r="E512" i="10"/>
  <c r="K521" i="10"/>
  <c r="L521" i="10" s="1"/>
  <c r="E519" i="10"/>
  <c r="K519" i="10" s="1"/>
  <c r="L519" i="10" s="1"/>
  <c r="E508" i="10"/>
  <c r="K508" i="10" s="1"/>
  <c r="L508" i="10" s="1"/>
  <c r="K506" i="10"/>
  <c r="L506" i="10" s="1"/>
  <c r="K517" i="10"/>
  <c r="L517" i="10" s="1"/>
  <c r="I523" i="10"/>
  <c r="K523" i="10" s="1"/>
  <c r="L523" i="10" s="1"/>
  <c r="I531" i="10"/>
  <c r="K531" i="10" s="1"/>
  <c r="L531" i="10" s="1"/>
  <c r="K532" i="10"/>
  <c r="L532" i="10" s="1"/>
  <c r="K507" i="10"/>
  <c r="L507" i="10" s="1"/>
  <c r="K528" i="10"/>
  <c r="L528" i="10" s="1"/>
  <c r="I530" i="10"/>
  <c r="K530" i="10" s="1"/>
  <c r="L530" i="10" s="1"/>
  <c r="K509" i="10"/>
  <c r="L509" i="10" s="1"/>
  <c r="K510" i="10"/>
  <c r="L510" i="10" s="1"/>
  <c r="I533" i="10"/>
  <c r="K533" i="10" s="1"/>
  <c r="L533" i="10" s="1"/>
  <c r="E96" i="7" l="1"/>
  <c r="I588" i="10"/>
  <c r="I592" i="10" s="1"/>
  <c r="E98" i="7" s="1"/>
  <c r="L535" i="10"/>
  <c r="L524" i="10"/>
  <c r="I512" i="10"/>
  <c r="K512" i="10" s="1"/>
  <c r="L512" i="10" s="1"/>
  <c r="L513" i="10" s="1"/>
  <c r="L537" i="10" l="1"/>
  <c r="E86" i="7" s="1"/>
  <c r="K495" i="10" l="1"/>
  <c r="K497" i="10"/>
  <c r="K496" i="10"/>
  <c r="K494" i="10"/>
  <c r="G489" i="10"/>
  <c r="J489" i="10" s="1"/>
  <c r="J490" i="10" s="1"/>
  <c r="E83" i="7" s="1"/>
  <c r="J484" i="10"/>
  <c r="J485" i="10" s="1"/>
  <c r="E82" i="7" s="1"/>
  <c r="I475" i="10"/>
  <c r="I477" i="10" s="1"/>
  <c r="E80" i="7" s="1"/>
  <c r="I466" i="10" s="1"/>
  <c r="I465" i="10"/>
  <c r="I460" i="10"/>
  <c r="I461" i="10" s="1"/>
  <c r="E78" i="7" s="1"/>
  <c r="C454" i="10"/>
  <c r="E454" i="10" s="1"/>
  <c r="C452" i="10"/>
  <c r="E452" i="10" s="1"/>
  <c r="C448" i="10"/>
  <c r="E448" i="10" s="1"/>
  <c r="C444" i="10"/>
  <c r="E444" i="10" s="1"/>
  <c r="C442" i="10"/>
  <c r="E442" i="10" s="1"/>
  <c r="C440" i="10"/>
  <c r="E440" i="10" s="1"/>
  <c r="C436" i="10"/>
  <c r="E436" i="10" s="1"/>
  <c r="C434" i="10"/>
  <c r="E434" i="10" s="1"/>
  <c r="E432" i="10"/>
  <c r="C430" i="10"/>
  <c r="E430" i="10" s="1"/>
  <c r="C428" i="10"/>
  <c r="E428" i="10" s="1"/>
  <c r="C416" i="10"/>
  <c r="E416" i="10" s="1"/>
  <c r="C414" i="10"/>
  <c r="E414" i="10" s="1"/>
  <c r="C412" i="10"/>
  <c r="E412" i="10" s="1"/>
  <c r="C410" i="10"/>
  <c r="E410" i="10" s="1"/>
  <c r="C408" i="10"/>
  <c r="E408" i="10" s="1"/>
  <c r="C406" i="10"/>
  <c r="E406" i="10" s="1"/>
  <c r="C404" i="10"/>
  <c r="E404" i="10" s="1"/>
  <c r="C402" i="10"/>
  <c r="E402" i="10" s="1"/>
  <c r="C400" i="10"/>
  <c r="E400" i="10" s="1"/>
  <c r="C398" i="10"/>
  <c r="E398" i="10" s="1"/>
  <c r="C396" i="10"/>
  <c r="E396" i="10" s="1"/>
  <c r="C394" i="10"/>
  <c r="E394" i="10" s="1"/>
  <c r="C392" i="10"/>
  <c r="E392" i="10" s="1"/>
  <c r="C390" i="10"/>
  <c r="E390" i="10" s="1"/>
  <c r="C388" i="10"/>
  <c r="E388" i="10" s="1"/>
  <c r="C386" i="10"/>
  <c r="E386" i="10" s="1"/>
  <c r="C384" i="10"/>
  <c r="E384" i="10" s="1"/>
  <c r="C382" i="10"/>
  <c r="E382" i="10" s="1"/>
  <c r="C380" i="10"/>
  <c r="E380" i="10" s="1"/>
  <c r="C378" i="10"/>
  <c r="E378" i="10" s="1"/>
  <c r="C376" i="10"/>
  <c r="E376" i="10" s="1"/>
  <c r="C374" i="10"/>
  <c r="E374" i="10" s="1"/>
  <c r="C372" i="10"/>
  <c r="D371" i="10"/>
  <c r="C370" i="10"/>
  <c r="C368" i="10"/>
  <c r="E368" i="10" s="1"/>
  <c r="C366" i="10"/>
  <c r="E366" i="10" s="1"/>
  <c r="C364" i="10"/>
  <c r="E364" i="10" s="1"/>
  <c r="C362" i="10"/>
  <c r="E362" i="10" s="1"/>
  <c r="E360" i="10"/>
  <c r="C358" i="10"/>
  <c r="E358" i="10" s="1"/>
  <c r="C356" i="10"/>
  <c r="E356" i="10" s="1"/>
  <c r="K498" i="10" l="1"/>
  <c r="E84" i="7" s="1"/>
  <c r="I467" i="10"/>
  <c r="E456" i="10"/>
  <c r="E77" i="7" s="1"/>
  <c r="I469" i="10" s="1"/>
  <c r="E370" i="10"/>
  <c r="E372" i="10"/>
  <c r="I471" i="10" l="1"/>
  <c r="E79" i="7" s="1"/>
  <c r="E418" i="10"/>
  <c r="E421" i="10" s="1"/>
  <c r="I337" i="10" l="1"/>
  <c r="I334" i="10"/>
  <c r="I341" i="10"/>
  <c r="I340" i="10"/>
  <c r="I339" i="10"/>
  <c r="I338" i="10"/>
  <c r="I332" i="10"/>
  <c r="E72" i="7" s="1"/>
  <c r="I323" i="10"/>
  <c r="I327" i="10"/>
  <c r="E71" i="7" s="1"/>
  <c r="I317" i="10"/>
  <c r="I321" i="10"/>
  <c r="E70" i="7" s="1"/>
  <c r="H282" i="10"/>
  <c r="H281" i="10"/>
  <c r="G270" i="10"/>
  <c r="E63" i="7" s="1"/>
  <c r="F263" i="10"/>
  <c r="E62" i="7" s="1"/>
  <c r="D64" i="7"/>
  <c r="K272" i="10" s="1"/>
  <c r="C64" i="7"/>
  <c r="B272" i="10" s="1"/>
  <c r="B64" i="7"/>
  <c r="A272" i="10" s="1"/>
  <c r="D63" i="7"/>
  <c r="I265" i="10" s="1"/>
  <c r="C63" i="7"/>
  <c r="B265" i="10" s="1"/>
  <c r="B63" i="7"/>
  <c r="A265" i="10" s="1"/>
  <c r="D62" i="7"/>
  <c r="I259" i="10" s="1"/>
  <c r="C62" i="7"/>
  <c r="B259" i="10" s="1"/>
  <c r="B62" i="7"/>
  <c r="A259" i="10" s="1"/>
  <c r="D544" i="8"/>
  <c r="I543" i="8"/>
  <c r="H543" i="8"/>
  <c r="G543" i="8"/>
  <c r="F543" i="8"/>
  <c r="I542" i="8"/>
  <c r="G542" i="8"/>
  <c r="F542" i="8"/>
  <c r="I541" i="8"/>
  <c r="H541" i="8"/>
  <c r="G541" i="8"/>
  <c r="F541" i="8"/>
  <c r="E542" i="8" s="1"/>
  <c r="H542" i="8" s="1"/>
  <c r="I540" i="8"/>
  <c r="H540" i="8"/>
  <c r="G540" i="8"/>
  <c r="F540" i="8"/>
  <c r="I538" i="8"/>
  <c r="H538" i="8"/>
  <c r="G538" i="8"/>
  <c r="F538" i="8"/>
  <c r="D529" i="8"/>
  <c r="I528" i="8"/>
  <c r="H528" i="8"/>
  <c r="G528" i="8"/>
  <c r="F528" i="8"/>
  <c r="I527" i="8"/>
  <c r="G527" i="8"/>
  <c r="F527" i="8"/>
  <c r="I526" i="8"/>
  <c r="H526" i="8"/>
  <c r="G526" i="8"/>
  <c r="F526" i="8"/>
  <c r="E527" i="8" s="1"/>
  <c r="H527" i="8" s="1"/>
  <c r="I525" i="8"/>
  <c r="H525" i="8"/>
  <c r="G525" i="8"/>
  <c r="F525" i="8"/>
  <c r="I524" i="8"/>
  <c r="H524" i="8"/>
  <c r="F524" i="8"/>
  <c r="I523" i="8"/>
  <c r="H523" i="8"/>
  <c r="G523" i="8"/>
  <c r="F523" i="8"/>
  <c r="D559" i="8"/>
  <c r="I558" i="8"/>
  <c r="H558" i="8"/>
  <c r="G558" i="8"/>
  <c r="F558" i="8"/>
  <c r="I557" i="8"/>
  <c r="G557" i="8"/>
  <c r="F557" i="8"/>
  <c r="I556" i="8"/>
  <c r="H556" i="8"/>
  <c r="G556" i="8"/>
  <c r="F556" i="8"/>
  <c r="E557" i="8" s="1"/>
  <c r="H557" i="8" s="1"/>
  <c r="I555" i="8"/>
  <c r="H555" i="8"/>
  <c r="G555" i="8"/>
  <c r="F555" i="8"/>
  <c r="I553" i="8"/>
  <c r="H553" i="8"/>
  <c r="G553" i="8"/>
  <c r="F553" i="8"/>
  <c r="H283" i="10" l="1"/>
  <c r="E65" i="7" s="1"/>
  <c r="G544" i="8"/>
  <c r="I544" i="8"/>
  <c r="H544" i="8"/>
  <c r="F544" i="8"/>
  <c r="F529" i="8"/>
  <c r="G529" i="8"/>
  <c r="I529" i="8"/>
  <c r="H529" i="8"/>
  <c r="I559" i="8"/>
  <c r="G559" i="8"/>
  <c r="H559" i="8"/>
  <c r="F559" i="8"/>
  <c r="C544" i="8" l="1"/>
  <c r="F63" i="7" s="1"/>
  <c r="C559" i="8"/>
  <c r="C529" i="8"/>
  <c r="F62" i="7" s="1"/>
  <c r="G62" i="7" l="1"/>
  <c r="G66" i="15"/>
  <c r="H66" i="15" s="1"/>
  <c r="G63" i="7"/>
  <c r="G67" i="15"/>
  <c r="H67" i="15" s="1"/>
  <c r="H314" i="10"/>
  <c r="I314" i="10" s="1"/>
  <c r="J314" i="10" s="1"/>
  <c r="L314" i="10" s="1"/>
  <c r="H313" i="10"/>
  <c r="I313" i="10" s="1"/>
  <c r="J313" i="10" s="1"/>
  <c r="L313" i="10" s="1"/>
  <c r="L315" i="10" l="1"/>
  <c r="F308" i="10"/>
  <c r="E68" i="7" s="1"/>
  <c r="F302" i="10"/>
  <c r="E67" i="7" s="1"/>
  <c r="I289" i="10"/>
  <c r="J289" i="10"/>
  <c r="J290" i="10" s="1"/>
  <c r="J293" i="10" s="1"/>
  <c r="E66" i="7" s="1"/>
  <c r="K276" i="10"/>
  <c r="K275" i="10"/>
  <c r="I256" i="10"/>
  <c r="F256" i="10"/>
  <c r="I255" i="10"/>
  <c r="F249" i="10"/>
  <c r="I249" i="10"/>
  <c r="I248" i="10"/>
  <c r="J237" i="10"/>
  <c r="M235" i="10"/>
  <c r="B233" i="10"/>
  <c r="H230" i="10"/>
  <c r="D230" i="10"/>
  <c r="G229" i="10"/>
  <c r="G228" i="10"/>
  <c r="H228" i="10" s="1"/>
  <c r="G227" i="10"/>
  <c r="B224" i="10"/>
  <c r="I250" i="10" l="1"/>
  <c r="E60" i="7" s="1"/>
  <c r="K277" i="10"/>
  <c r="E64" i="7" s="1"/>
  <c r="I257" i="10"/>
  <c r="K237" i="10"/>
  <c r="J236" i="10"/>
  <c r="K236" i="10" s="1"/>
  <c r="J230" i="10"/>
  <c r="K230" i="10" s="1"/>
  <c r="H227" i="10"/>
  <c r="J227" i="10" s="1"/>
  <c r="K227" i="10" s="1"/>
  <c r="J228" i="10"/>
  <c r="K228" i="10" s="1"/>
  <c r="H229" i="10"/>
  <c r="J229" i="10" s="1"/>
  <c r="K229" i="10" s="1"/>
  <c r="K238" i="10" l="1"/>
  <c r="K231" i="10"/>
  <c r="E57" i="7" s="1"/>
  <c r="H219" i="10" l="1"/>
  <c r="I219" i="10" s="1"/>
  <c r="K219" i="10" s="1"/>
  <c r="H218" i="10"/>
  <c r="I218" i="10" s="1"/>
  <c r="K218" i="10" s="1"/>
  <c r="H208" i="10"/>
  <c r="F201" i="10"/>
  <c r="F200" i="10"/>
  <c r="F199" i="10"/>
  <c r="F198" i="10"/>
  <c r="F197" i="10"/>
  <c r="F196" i="10"/>
  <c r="F195" i="10"/>
  <c r="F191" i="10"/>
  <c r="K220" i="10" l="1"/>
  <c r="E55" i="7" s="1"/>
  <c r="E49" i="7"/>
  <c r="E51" i="7"/>
  <c r="F202" i="10"/>
  <c r="E50" i="7" s="1"/>
  <c r="K240" i="10" l="1"/>
  <c r="K241" i="10" s="1"/>
  <c r="E58" i="7" s="1"/>
  <c r="G178" i="10"/>
  <c r="F178" i="10"/>
  <c r="B178" i="10"/>
  <c r="F172" i="10"/>
  <c r="E45" i="7" s="1"/>
  <c r="C166" i="10"/>
  <c r="E44" i="7" s="1"/>
  <c r="C160" i="10"/>
  <c r="E43" i="7" s="1"/>
  <c r="I178" i="10" l="1"/>
  <c r="I179" i="10" s="1"/>
  <c r="G144" i="10"/>
  <c r="F144" i="10"/>
  <c r="B142" i="10"/>
  <c r="H139" i="10"/>
  <c r="H138" i="10"/>
  <c r="H137" i="10"/>
  <c r="B134" i="10"/>
  <c r="H136" i="10"/>
  <c r="F131" i="10"/>
  <c r="H131" i="10" s="1"/>
  <c r="H132" i="10" s="1"/>
  <c r="B129" i="10"/>
  <c r="I144" i="10" l="1"/>
  <c r="I145" i="10" s="1"/>
  <c r="H140" i="10"/>
  <c r="B31" i="7" l="1"/>
  <c r="B28" i="7"/>
  <c r="Y123" i="10"/>
  <c r="X123" i="10"/>
  <c r="Y122" i="10"/>
  <c r="X122" i="10"/>
  <c r="Y121" i="10"/>
  <c r="X121" i="10"/>
  <c r="Y120" i="10"/>
  <c r="X120" i="10"/>
  <c r="Y119" i="10"/>
  <c r="X119" i="10"/>
  <c r="Y118" i="10"/>
  <c r="X118" i="10"/>
  <c r="Y117" i="10"/>
  <c r="X117" i="10"/>
  <c r="Y116" i="10"/>
  <c r="X116" i="10"/>
  <c r="Y115" i="10"/>
  <c r="X115" i="10"/>
  <c r="V123" i="10" l="1"/>
  <c r="V114" i="10"/>
  <c r="U115" i="10"/>
  <c r="U116" i="10"/>
  <c r="U117" i="10"/>
  <c r="U118" i="10"/>
  <c r="U119" i="10"/>
  <c r="U120" i="10"/>
  <c r="U121" i="10"/>
  <c r="U122" i="10"/>
  <c r="U123" i="10"/>
  <c r="U114" i="10"/>
  <c r="T117" i="10"/>
  <c r="T118" i="10"/>
  <c r="T119" i="10"/>
  <c r="T120" i="10"/>
  <c r="T121" i="10"/>
  <c r="T122" i="10"/>
  <c r="T123" i="10"/>
  <c r="P120" i="10" l="1"/>
  <c r="L119" i="10"/>
  <c r="L118" i="10"/>
  <c r="L117" i="10"/>
  <c r="K117" i="10"/>
  <c r="N117" i="10" s="1"/>
  <c r="Q117" i="10" s="1"/>
  <c r="K118" i="10"/>
  <c r="N118" i="10" s="1"/>
  <c r="Q118" i="10" s="1"/>
  <c r="K119" i="10"/>
  <c r="N119" i="10" s="1"/>
  <c r="Q119" i="10" s="1"/>
  <c r="K120" i="10"/>
  <c r="N120" i="10" s="1"/>
  <c r="Q120" i="10" s="1"/>
  <c r="K121" i="10"/>
  <c r="N121" i="10" s="1"/>
  <c r="Q121" i="10" s="1"/>
  <c r="K122" i="10"/>
  <c r="K123" i="10"/>
  <c r="K114" i="10"/>
  <c r="H124" i="10"/>
  <c r="G124" i="10"/>
  <c r="G336" i="10" s="1"/>
  <c r="I336" i="10" s="1"/>
  <c r="I342" i="10" s="1"/>
  <c r="I345" i="10" s="1"/>
  <c r="E73" i="7" s="1"/>
  <c r="B123" i="10"/>
  <c r="B122" i="10"/>
  <c r="B121" i="10"/>
  <c r="B120" i="10"/>
  <c r="B119" i="10"/>
  <c r="B118" i="10"/>
  <c r="B117" i="10"/>
  <c r="B116" i="10"/>
  <c r="P123" i="10"/>
  <c r="P122" i="10"/>
  <c r="V122" i="10" s="1"/>
  <c r="T116" i="10"/>
  <c r="P116" i="10"/>
  <c r="K116" i="10"/>
  <c r="N116" i="10" s="1"/>
  <c r="T115" i="10"/>
  <c r="P115" i="10"/>
  <c r="K115" i="10"/>
  <c r="N115" i="10" s="1"/>
  <c r="T114" i="10"/>
  <c r="P114" i="10"/>
  <c r="V115" i="10" l="1"/>
  <c r="O121" i="10"/>
  <c r="T124" i="10"/>
  <c r="C153" i="10"/>
  <c r="C154" i="10" s="1"/>
  <c r="E42" i="7" s="1"/>
  <c r="L116" i="10"/>
  <c r="V120" i="10"/>
  <c r="R120" i="10"/>
  <c r="V116" i="10"/>
  <c r="O117" i="10"/>
  <c r="P121" i="10"/>
  <c r="L123" i="10"/>
  <c r="O116" i="10"/>
  <c r="L122" i="10"/>
  <c r="O115" i="10"/>
  <c r="L121" i="10"/>
  <c r="L120" i="10"/>
  <c r="P117" i="10"/>
  <c r="O120" i="10"/>
  <c r="P118" i="10"/>
  <c r="O119" i="10"/>
  <c r="P119" i="10"/>
  <c r="O118" i="10"/>
  <c r="N123" i="10"/>
  <c r="O123" i="10" s="1"/>
  <c r="N114" i="10"/>
  <c r="O114" i="10" s="1"/>
  <c r="N122" i="10"/>
  <c r="O122" i="10" s="1"/>
  <c r="D124" i="10"/>
  <c r="L114" i="10"/>
  <c r="Q115" i="10"/>
  <c r="R115" i="10" s="1"/>
  <c r="Q116" i="10"/>
  <c r="R116" i="10" s="1"/>
  <c r="L115" i="10"/>
  <c r="Y114" i="10"/>
  <c r="Y124" i="10" s="1"/>
  <c r="E31" i="7" s="1"/>
  <c r="O124" i="10" l="1"/>
  <c r="E27" i="7" s="1"/>
  <c r="Q114" i="10"/>
  <c r="R114" i="10" s="1"/>
  <c r="W114" i="10" s="1"/>
  <c r="Z114" i="10" s="1"/>
  <c r="Q123" i="10"/>
  <c r="R123" i="10" s="1"/>
  <c r="W123" i="10" s="1"/>
  <c r="Z123" i="10" s="1"/>
  <c r="L124" i="10"/>
  <c r="L125" i="10" s="1"/>
  <c r="L126" i="10" s="1"/>
  <c r="V119" i="10"/>
  <c r="R119" i="10"/>
  <c r="S119" i="10" s="1"/>
  <c r="W115" i="10"/>
  <c r="Z115" i="10" s="1"/>
  <c r="V118" i="10"/>
  <c r="R118" i="10"/>
  <c r="W120" i="10"/>
  <c r="Z120" i="10" s="1"/>
  <c r="S120" i="10"/>
  <c r="W116" i="10"/>
  <c r="Z116" i="10" s="1"/>
  <c r="V117" i="10"/>
  <c r="R117" i="10"/>
  <c r="S117" i="10" s="1"/>
  <c r="V121" i="10"/>
  <c r="R121" i="10"/>
  <c r="Q122" i="10"/>
  <c r="R122" i="10" s="1"/>
  <c r="W122" i="10" s="1"/>
  <c r="S115" i="10"/>
  <c r="X124" i="10"/>
  <c r="E30" i="7" s="1"/>
  <c r="S116" i="10"/>
  <c r="S114" i="10" l="1"/>
  <c r="S123" i="10"/>
  <c r="W119" i="10"/>
  <c r="Z119" i="10" s="1"/>
  <c r="Z122" i="10"/>
  <c r="S122" i="10"/>
  <c r="W118" i="10"/>
  <c r="Z118" i="10" s="1"/>
  <c r="V124" i="10"/>
  <c r="E38" i="7" s="1"/>
  <c r="W117" i="10"/>
  <c r="Z117" i="10" s="1"/>
  <c r="S118" i="10"/>
  <c r="W121" i="10"/>
  <c r="S121" i="10"/>
  <c r="R124" i="10"/>
  <c r="O125" i="10"/>
  <c r="O126" i="10" s="1"/>
  <c r="P126" i="10" l="1"/>
  <c r="W124" i="10"/>
  <c r="E39" i="7" s="1"/>
  <c r="Z121" i="10"/>
  <c r="Z124" i="10" s="1"/>
  <c r="E40" i="7" s="1"/>
  <c r="R125" i="10"/>
  <c r="R126" i="10" s="1"/>
  <c r="E28" i="7"/>
  <c r="S126" i="10" l="1"/>
  <c r="G102" i="10"/>
  <c r="G101" i="10"/>
  <c r="G100" i="10"/>
  <c r="G99" i="10"/>
  <c r="F102" i="10"/>
  <c r="F101" i="10"/>
  <c r="F100" i="10"/>
  <c r="F99" i="10"/>
  <c r="G98" i="10"/>
  <c r="F98" i="10"/>
  <c r="I89" i="10"/>
  <c r="I88" i="10"/>
  <c r="I87" i="10"/>
  <c r="I98" i="10" l="1"/>
  <c r="E21" i="7" s="1"/>
  <c r="I102" i="10"/>
  <c r="E25" i="7" s="1"/>
  <c r="I103" i="10"/>
  <c r="I100" i="10"/>
  <c r="E23" i="7" s="1"/>
  <c r="I99" i="10"/>
  <c r="E22" i="7" s="1"/>
  <c r="I101" i="10"/>
  <c r="E24" i="7" s="1"/>
  <c r="I90" i="10"/>
  <c r="H82" i="10"/>
  <c r="H83" i="10" s="1"/>
  <c r="E16" i="7" s="1"/>
  <c r="F76" i="10"/>
  <c r="H76" i="10" s="1"/>
  <c r="H77" i="10" s="1"/>
  <c r="E15" i="7" s="1"/>
  <c r="F72" i="10"/>
  <c r="E14" i="7" s="1"/>
  <c r="H65" i="10"/>
  <c r="H64" i="10"/>
  <c r="H63" i="10"/>
  <c r="H62" i="10"/>
  <c r="H61" i="10"/>
  <c r="F57" i="10"/>
  <c r="E12" i="7" s="1"/>
  <c r="B49" i="10"/>
  <c r="B48" i="10"/>
  <c r="H40" i="10"/>
  <c r="H39" i="10"/>
  <c r="H66" i="10" l="1"/>
  <c r="H45" i="10"/>
  <c r="H49" i="10" s="1"/>
  <c r="G33" i="10" l="1"/>
  <c r="G32" i="10"/>
  <c r="G31" i="10"/>
  <c r="G30" i="10"/>
  <c r="G29" i="10"/>
  <c r="G28" i="10"/>
  <c r="G27" i="10"/>
  <c r="G35" i="10" l="1"/>
  <c r="H48" i="10" s="1"/>
  <c r="H50" i="10" s="1"/>
  <c r="E11" i="7" s="1"/>
  <c r="F20" i="10" l="1"/>
  <c r="E10" i="7" s="1"/>
  <c r="H13" i="10"/>
  <c r="H14" i="10" s="1"/>
  <c r="I213" i="10"/>
  <c r="I212" i="10"/>
  <c r="I214" i="10" l="1"/>
  <c r="E54" i="7" s="1"/>
  <c r="D718" i="8"/>
  <c r="D759" i="8"/>
  <c r="F986" i="8" l="1"/>
  <c r="F987" i="8"/>
  <c r="F988" i="8"/>
  <c r="D717" i="8"/>
  <c r="D716" i="8"/>
  <c r="D715" i="8"/>
  <c r="D714" i="8"/>
  <c r="D713" i="8"/>
  <c r="D712" i="8"/>
  <c r="D704" i="8"/>
  <c r="D695" i="8"/>
  <c r="D699" i="8"/>
  <c r="D698" i="8"/>
  <c r="D696" i="8"/>
  <c r="D697" i="8"/>
  <c r="F989" i="8" l="1"/>
  <c r="D79" i="7"/>
  <c r="I463" i="10" s="1"/>
  <c r="C79" i="7"/>
  <c r="B463" i="10" s="1"/>
  <c r="B79" i="7"/>
  <c r="A463" i="10" s="1"/>
  <c r="D76" i="7"/>
  <c r="I351" i="10" s="1"/>
  <c r="C76" i="7"/>
  <c r="B351" i="10" s="1"/>
  <c r="B76" i="7"/>
  <c r="A351" i="10" s="1"/>
  <c r="Q6" i="9"/>
  <c r="Q21" i="9" s="1"/>
  <c r="P6" i="9"/>
  <c r="P21" i="9" s="1"/>
  <c r="O6" i="9"/>
  <c r="O20" i="9" s="1"/>
  <c r="N6" i="9"/>
  <c r="N20" i="9" s="1"/>
  <c r="M6" i="9"/>
  <c r="L6" i="9"/>
  <c r="K6" i="9"/>
  <c r="K22" i="9" s="1"/>
  <c r="J6" i="9"/>
  <c r="J22" i="9" s="1"/>
  <c r="I6" i="9"/>
  <c r="I21" i="9" s="1"/>
  <c r="H6" i="9"/>
  <c r="H21" i="9" s="1"/>
  <c r="G6" i="9"/>
  <c r="G20" i="9" s="1"/>
  <c r="F6" i="9"/>
  <c r="F20" i="9" s="1"/>
  <c r="E6" i="9"/>
  <c r="D6" i="9"/>
  <c r="D1" i="9"/>
  <c r="O17" i="9" s="1"/>
  <c r="D762" i="8"/>
  <c r="I761" i="8"/>
  <c r="H761" i="8"/>
  <c r="G761" i="8"/>
  <c r="F761" i="8"/>
  <c r="I760" i="8"/>
  <c r="G760" i="8"/>
  <c r="F760" i="8"/>
  <c r="I759" i="8"/>
  <c r="H759" i="8"/>
  <c r="G759" i="8"/>
  <c r="D720" i="8"/>
  <c r="I719" i="8"/>
  <c r="H719" i="8"/>
  <c r="G719" i="8"/>
  <c r="F719" i="8"/>
  <c r="I718" i="8"/>
  <c r="H718" i="8"/>
  <c r="G718" i="8"/>
  <c r="F718" i="8"/>
  <c r="I717" i="8"/>
  <c r="H717" i="8"/>
  <c r="G717" i="8"/>
  <c r="F717" i="8"/>
  <c r="I716" i="8"/>
  <c r="H716" i="8"/>
  <c r="G716" i="8"/>
  <c r="F716" i="8"/>
  <c r="I715" i="8"/>
  <c r="H715" i="8"/>
  <c r="G715" i="8"/>
  <c r="F715" i="8"/>
  <c r="I714" i="8"/>
  <c r="H714" i="8"/>
  <c r="G714" i="8"/>
  <c r="F714" i="8"/>
  <c r="I713" i="8"/>
  <c r="H713" i="8"/>
  <c r="G713" i="8"/>
  <c r="F713" i="8"/>
  <c r="I712" i="8"/>
  <c r="H712" i="8"/>
  <c r="G712" i="8"/>
  <c r="F712" i="8"/>
  <c r="I711" i="8"/>
  <c r="H711" i="8"/>
  <c r="F711" i="8"/>
  <c r="G711" i="8"/>
  <c r="I710" i="8"/>
  <c r="H710" i="8"/>
  <c r="F710" i="8"/>
  <c r="G710" i="8"/>
  <c r="I709" i="8"/>
  <c r="H709" i="8"/>
  <c r="F709" i="8"/>
  <c r="G709" i="8"/>
  <c r="I708" i="8"/>
  <c r="H708" i="8"/>
  <c r="F708" i="8"/>
  <c r="D708" i="8"/>
  <c r="I707" i="8"/>
  <c r="H707" i="8"/>
  <c r="G707" i="8"/>
  <c r="F707" i="8"/>
  <c r="I706" i="8"/>
  <c r="H706" i="8"/>
  <c r="G706" i="8"/>
  <c r="F706" i="8"/>
  <c r="I705" i="8"/>
  <c r="H705" i="8"/>
  <c r="F705" i="8"/>
  <c r="G705" i="8"/>
  <c r="I704" i="8"/>
  <c r="H704" i="8"/>
  <c r="F704" i="8"/>
  <c r="G704" i="8"/>
  <c r="I703" i="8"/>
  <c r="H703" i="8"/>
  <c r="F703" i="8"/>
  <c r="G703" i="8"/>
  <c r="I702" i="8"/>
  <c r="H702" i="8"/>
  <c r="F702" i="8"/>
  <c r="G702" i="8"/>
  <c r="I701" i="8"/>
  <c r="H701" i="8"/>
  <c r="F701" i="8"/>
  <c r="D701" i="8"/>
  <c r="I700" i="8"/>
  <c r="G700" i="8"/>
  <c r="F700" i="8"/>
  <c r="I699" i="8"/>
  <c r="H699" i="8"/>
  <c r="G699" i="8"/>
  <c r="F699" i="8"/>
  <c r="I698" i="8"/>
  <c r="H698" i="8"/>
  <c r="G698" i="8"/>
  <c r="F698" i="8"/>
  <c r="I697" i="8"/>
  <c r="G697" i="8"/>
  <c r="F697" i="8"/>
  <c r="H697" i="8"/>
  <c r="I696" i="8"/>
  <c r="G696" i="8"/>
  <c r="F696" i="8"/>
  <c r="H696" i="8"/>
  <c r="I695" i="8"/>
  <c r="G695" i="8"/>
  <c r="F695" i="8"/>
  <c r="E695" i="8"/>
  <c r="P11" i="9" l="1"/>
  <c r="G9" i="9"/>
  <c r="O11" i="9"/>
  <c r="G14" i="9"/>
  <c r="G15" i="9"/>
  <c r="G21" i="9"/>
  <c r="P22" i="9"/>
  <c r="O9" i="9"/>
  <c r="H14" i="9"/>
  <c r="H15" i="9"/>
  <c r="G22" i="9"/>
  <c r="D19" i="9"/>
  <c r="L19" i="9"/>
  <c r="O10" i="9"/>
  <c r="G13" i="9"/>
  <c r="O14" i="9"/>
  <c r="O15" i="9"/>
  <c r="H22" i="9"/>
  <c r="P10" i="9"/>
  <c r="O13" i="9"/>
  <c r="P14" i="9"/>
  <c r="P15" i="9"/>
  <c r="O22" i="9"/>
  <c r="G701" i="8"/>
  <c r="G10" i="9"/>
  <c r="G11" i="9"/>
  <c r="Q11" i="9"/>
  <c r="I14" i="9"/>
  <c r="I15" i="9"/>
  <c r="G17" i="9"/>
  <c r="O21" i="9"/>
  <c r="Q22" i="9"/>
  <c r="H10" i="9"/>
  <c r="H11" i="9"/>
  <c r="F13" i="9"/>
  <c r="N14" i="9"/>
  <c r="J15" i="9"/>
  <c r="N17" i="9"/>
  <c r="F22" i="9"/>
  <c r="I10" i="9"/>
  <c r="I11" i="9"/>
  <c r="K15" i="9"/>
  <c r="F9" i="9"/>
  <c r="N10" i="9"/>
  <c r="J11" i="9"/>
  <c r="N13" i="9"/>
  <c r="N15" i="9"/>
  <c r="J19" i="9"/>
  <c r="N19" i="9"/>
  <c r="K11" i="9"/>
  <c r="Q14" i="9"/>
  <c r="K19" i="9"/>
  <c r="I22" i="9"/>
  <c r="N9" i="9"/>
  <c r="N11" i="9"/>
  <c r="F14" i="9"/>
  <c r="F15" i="9"/>
  <c r="F21" i="9"/>
  <c r="N22" i="9"/>
  <c r="E19" i="9"/>
  <c r="M19" i="9"/>
  <c r="Q10" i="9"/>
  <c r="Q15" i="9"/>
  <c r="F10" i="9"/>
  <c r="F11" i="9"/>
  <c r="F17" i="9"/>
  <c r="N21" i="9"/>
  <c r="G762" i="8"/>
  <c r="I720" i="8"/>
  <c r="G708" i="8"/>
  <c r="H695" i="8"/>
  <c r="I762" i="8"/>
  <c r="E20" i="9"/>
  <c r="M20" i="9"/>
  <c r="L12" i="9"/>
  <c r="D16" i="9"/>
  <c r="L16" i="9"/>
  <c r="D20" i="9"/>
  <c r="L20" i="9"/>
  <c r="E9" i="9"/>
  <c r="E13" i="9"/>
  <c r="M13" i="9"/>
  <c r="K16" i="9"/>
  <c r="M17" i="9"/>
  <c r="I19" i="9"/>
  <c r="E12" i="9"/>
  <c r="M12" i="9"/>
  <c r="E16" i="9"/>
  <c r="M16" i="9"/>
  <c r="D12" i="9"/>
  <c r="M9" i="9"/>
  <c r="K12" i="9"/>
  <c r="E17" i="9"/>
  <c r="Q19" i="9"/>
  <c r="K20" i="9"/>
  <c r="E21" i="9"/>
  <c r="M21" i="9"/>
  <c r="D9" i="9"/>
  <c r="L9" i="9"/>
  <c r="J12" i="9"/>
  <c r="D13" i="9"/>
  <c r="L13" i="9"/>
  <c r="J16" i="9"/>
  <c r="D17" i="9"/>
  <c r="L17" i="9"/>
  <c r="H19" i="9"/>
  <c r="P19" i="9"/>
  <c r="J20" i="9"/>
  <c r="D21" i="9"/>
  <c r="L21" i="9"/>
  <c r="K9" i="9"/>
  <c r="E10" i="9"/>
  <c r="M10" i="9"/>
  <c r="I12" i="9"/>
  <c r="Q12" i="9"/>
  <c r="K13" i="9"/>
  <c r="E14" i="9"/>
  <c r="M14" i="9"/>
  <c r="I16" i="9"/>
  <c r="Q16" i="9"/>
  <c r="K17" i="9"/>
  <c r="G19" i="9"/>
  <c r="G24" i="9" s="1"/>
  <c r="O19" i="9"/>
  <c r="I20" i="9"/>
  <c r="Q20" i="9"/>
  <c r="K21" i="9"/>
  <c r="E22" i="9"/>
  <c r="M22" i="9"/>
  <c r="J9" i="9"/>
  <c r="D10" i="9"/>
  <c r="L10" i="9"/>
  <c r="H12" i="9"/>
  <c r="P12" i="9"/>
  <c r="J13" i="9"/>
  <c r="D14" i="9"/>
  <c r="L14" i="9"/>
  <c r="H16" i="9"/>
  <c r="P16" i="9"/>
  <c r="J17" i="9"/>
  <c r="F19" i="9"/>
  <c r="F24" i="9" s="1"/>
  <c r="H20" i="9"/>
  <c r="P20" i="9"/>
  <c r="J21" i="9"/>
  <c r="D22" i="9"/>
  <c r="L22" i="9"/>
  <c r="I9" i="9"/>
  <c r="Q9" i="9"/>
  <c r="K10" i="9"/>
  <c r="E11" i="9"/>
  <c r="M11" i="9"/>
  <c r="G12" i="9"/>
  <c r="O12" i="9"/>
  <c r="I13" i="9"/>
  <c r="Q13" i="9"/>
  <c r="K14" i="9"/>
  <c r="E15" i="9"/>
  <c r="M15" i="9"/>
  <c r="G16" i="9"/>
  <c r="O16" i="9"/>
  <c r="I17" i="9"/>
  <c r="Q17" i="9"/>
  <c r="H9" i="9"/>
  <c r="P9" i="9"/>
  <c r="J10" i="9"/>
  <c r="D11" i="9"/>
  <c r="L11" i="9"/>
  <c r="F12" i="9"/>
  <c r="N12" i="9"/>
  <c r="N18" i="9" s="1"/>
  <c r="H13" i="9"/>
  <c r="P13" i="9"/>
  <c r="J14" i="9"/>
  <c r="D15" i="9"/>
  <c r="L15" i="9"/>
  <c r="F16" i="9"/>
  <c r="N16" i="9"/>
  <c r="H17" i="9"/>
  <c r="P17" i="9"/>
  <c r="F720" i="8"/>
  <c r="B88" i="7"/>
  <c r="O18" i="9" l="1"/>
  <c r="J24" i="9"/>
  <c r="G18" i="9"/>
  <c r="G25" i="9" s="1"/>
  <c r="G27" i="9" s="1"/>
  <c r="D18" i="9"/>
  <c r="N24" i="9"/>
  <c r="E700" i="8"/>
  <c r="H700" i="8" s="1"/>
  <c r="H720" i="8" s="1"/>
  <c r="K18" i="9"/>
  <c r="L24" i="9"/>
  <c r="M24" i="9"/>
  <c r="J18" i="9"/>
  <c r="J25" i="9" s="1"/>
  <c r="J26" i="9" s="1"/>
  <c r="F18" i="9"/>
  <c r="F25" i="9" s="1"/>
  <c r="F27" i="9" s="1"/>
  <c r="E24" i="9"/>
  <c r="K24" i="9"/>
  <c r="L18" i="9"/>
  <c r="Q24" i="9"/>
  <c r="D24" i="9"/>
  <c r="D25" i="9" s="1"/>
  <c r="G720" i="8"/>
  <c r="N25" i="9"/>
  <c r="N27" i="9" s="1"/>
  <c r="I18" i="9"/>
  <c r="O24" i="9"/>
  <c r="O25" i="9" s="1"/>
  <c r="M18" i="9"/>
  <c r="M25" i="9" s="1"/>
  <c r="M27" i="9" s="1"/>
  <c r="E18" i="9"/>
  <c r="G26" i="9"/>
  <c r="J27" i="9"/>
  <c r="F26" i="9"/>
  <c r="N26" i="9"/>
  <c r="H18" i="9"/>
  <c r="Q18" i="9"/>
  <c r="P18" i="9"/>
  <c r="H24" i="9"/>
  <c r="P24" i="9"/>
  <c r="I24" i="9"/>
  <c r="D1007" i="8"/>
  <c r="I1005" i="8"/>
  <c r="H1005" i="8"/>
  <c r="F1005" i="8"/>
  <c r="C1005" i="8"/>
  <c r="I1004" i="8"/>
  <c r="H1004" i="8"/>
  <c r="G1004" i="8"/>
  <c r="F1004" i="8"/>
  <c r="I1003" i="8"/>
  <c r="H1003" i="8"/>
  <c r="F1003" i="8"/>
  <c r="D1003" i="8"/>
  <c r="D1005" i="8" s="1"/>
  <c r="G1005" i="8" s="1"/>
  <c r="I1002" i="8"/>
  <c r="H1002" i="8"/>
  <c r="G1002" i="8"/>
  <c r="F1002" i="8"/>
  <c r="I1001" i="8"/>
  <c r="H1001" i="8"/>
  <c r="G1001" i="8"/>
  <c r="F1001" i="8"/>
  <c r="I1000" i="8"/>
  <c r="H1000" i="8"/>
  <c r="G1000" i="8"/>
  <c r="F1000" i="8"/>
  <c r="I999" i="8"/>
  <c r="H999" i="8"/>
  <c r="G999" i="8"/>
  <c r="F999" i="8"/>
  <c r="I998" i="8"/>
  <c r="H998" i="8"/>
  <c r="G998" i="8"/>
  <c r="F998" i="8"/>
  <c r="I25" i="9" l="1"/>
  <c r="I26" i="9" s="1"/>
  <c r="Q25" i="9"/>
  <c r="E25" i="9"/>
  <c r="E27" i="9" s="1"/>
  <c r="L25" i="9"/>
  <c r="L27" i="9" s="1"/>
  <c r="K25" i="9"/>
  <c r="K27" i="9" s="1"/>
  <c r="H25" i="9"/>
  <c r="H26" i="9" s="1"/>
  <c r="M26" i="9"/>
  <c r="C720" i="8"/>
  <c r="F76" i="7" s="1"/>
  <c r="G80" i="15" s="1"/>
  <c r="H80" i="15" s="1"/>
  <c r="O27" i="9"/>
  <c r="O26" i="9"/>
  <c r="I1007" i="8"/>
  <c r="F1007" i="8"/>
  <c r="H1007" i="8"/>
  <c r="I27" i="9"/>
  <c r="D27" i="9"/>
  <c r="F759" i="8" s="1"/>
  <c r="D26" i="9"/>
  <c r="Q26" i="9"/>
  <c r="Q27" i="9"/>
  <c r="P25" i="9"/>
  <c r="G1003" i="8"/>
  <c r="G1007" i="8" s="1"/>
  <c r="K26" i="9" l="1"/>
  <c r="L26" i="9"/>
  <c r="E26" i="9"/>
  <c r="H27" i="9"/>
  <c r="E760" i="8"/>
  <c r="H760" i="8" s="1"/>
  <c r="H762" i="8" s="1"/>
  <c r="F762" i="8"/>
  <c r="C1007" i="8"/>
  <c r="F88" i="7" s="1"/>
  <c r="G92" i="15" s="1"/>
  <c r="H92" i="15" s="1"/>
  <c r="P26" i="9"/>
  <c r="P27" i="9"/>
  <c r="C762" i="8" l="1"/>
  <c r="F79" i="7" s="1"/>
  <c r="G83" i="15" s="1"/>
  <c r="H83" i="15" s="1"/>
  <c r="D93" i="7"/>
  <c r="C93" i="7"/>
  <c r="B93" i="7"/>
  <c r="I940" i="8"/>
  <c r="H940" i="8"/>
  <c r="G940" i="8"/>
  <c r="F940" i="8"/>
  <c r="I939" i="8"/>
  <c r="H939" i="8"/>
  <c r="G939" i="8"/>
  <c r="F939" i="8"/>
  <c r="I938" i="8"/>
  <c r="G938" i="8"/>
  <c r="F938" i="8"/>
  <c r="H938" i="8"/>
  <c r="I937" i="8"/>
  <c r="H937" i="8"/>
  <c r="G937" i="8"/>
  <c r="F937" i="8"/>
  <c r="I936" i="8"/>
  <c r="H936" i="8"/>
  <c r="G936" i="8"/>
  <c r="F936" i="8"/>
  <c r="E925" i="8"/>
  <c r="D923" i="8"/>
  <c r="I922" i="8"/>
  <c r="H922" i="8"/>
  <c r="G922" i="8"/>
  <c r="F922" i="8"/>
  <c r="E921" i="8" s="1"/>
  <c r="H941" i="8" l="1"/>
  <c r="G941" i="8"/>
  <c r="I941" i="8"/>
  <c r="F941" i="8"/>
  <c r="C73" i="7"/>
  <c r="B334" i="10" s="1"/>
  <c r="B73" i="7"/>
  <c r="A334" i="10" s="1"/>
  <c r="D687" i="8"/>
  <c r="I686" i="8"/>
  <c r="H686" i="8"/>
  <c r="G686" i="8"/>
  <c r="F686" i="8"/>
  <c r="I685" i="8"/>
  <c r="H685" i="8"/>
  <c r="F685" i="8"/>
  <c r="E685" i="8"/>
  <c r="G685" i="8" s="1"/>
  <c r="I684" i="8"/>
  <c r="H684" i="8"/>
  <c r="G684" i="8"/>
  <c r="F684" i="8"/>
  <c r="I683" i="8"/>
  <c r="H683" i="8"/>
  <c r="F683" i="8"/>
  <c r="G683" i="8"/>
  <c r="F687" i="8" l="1"/>
  <c r="I687" i="8"/>
  <c r="H687" i="8"/>
  <c r="C941" i="8"/>
  <c r="F93" i="7" s="1"/>
  <c r="G687" i="8"/>
  <c r="G93" i="7" l="1"/>
  <c r="G97" i="15"/>
  <c r="H97" i="15" s="1"/>
  <c r="C687" i="8"/>
  <c r="F73" i="7" s="1"/>
  <c r="G77" i="15" s="1"/>
  <c r="H77" i="15" s="1"/>
  <c r="D732" i="8" l="1"/>
  <c r="D731" i="8"/>
  <c r="I482" i="8" l="1"/>
  <c r="H482" i="8"/>
  <c r="G482" i="8"/>
  <c r="F482" i="8"/>
  <c r="I481" i="8"/>
  <c r="H481" i="8"/>
  <c r="G481" i="8"/>
  <c r="F481" i="8"/>
  <c r="I480" i="8"/>
  <c r="H480" i="8"/>
  <c r="G480" i="8"/>
  <c r="F480" i="8"/>
  <c r="I479" i="8"/>
  <c r="G479" i="8"/>
  <c r="F479" i="8"/>
  <c r="I478" i="8"/>
  <c r="H478" i="8"/>
  <c r="F478" i="8"/>
  <c r="I477" i="8"/>
  <c r="H477" i="8"/>
  <c r="G477" i="8"/>
  <c r="F477" i="8"/>
  <c r="E479" i="8" s="1"/>
  <c r="H479" i="8" s="1"/>
  <c r="I476" i="8"/>
  <c r="H476" i="8"/>
  <c r="G476" i="8"/>
  <c r="F476" i="8"/>
  <c r="I475" i="8"/>
  <c r="H475" i="8"/>
  <c r="G475" i="8"/>
  <c r="F475" i="8"/>
  <c r="E478" i="8" l="1"/>
  <c r="G478" i="8" s="1"/>
  <c r="G483" i="8" s="1"/>
  <c r="F483" i="8"/>
  <c r="H483" i="8"/>
  <c r="I483" i="8"/>
  <c r="C483" i="8" l="1"/>
  <c r="B58" i="7"/>
  <c r="A233" i="10" s="1"/>
  <c r="D460" i="8"/>
  <c r="G460" i="8" s="1"/>
  <c r="I460" i="8"/>
  <c r="H460" i="8"/>
  <c r="F460" i="8"/>
  <c r="D425" i="8"/>
  <c r="F426" i="8" l="1"/>
  <c r="E427" i="8" s="1"/>
  <c r="I849" i="8"/>
  <c r="H849" i="8"/>
  <c r="G849" i="8"/>
  <c r="F849" i="8"/>
  <c r="D240" i="8" l="1"/>
  <c r="I238" i="8"/>
  <c r="H238" i="8"/>
  <c r="G238" i="8"/>
  <c r="F238" i="8"/>
  <c r="I237" i="8"/>
  <c r="G237" i="8"/>
  <c r="F237" i="8"/>
  <c r="I235" i="8"/>
  <c r="H235" i="8"/>
  <c r="G235" i="8"/>
  <c r="F235" i="8"/>
  <c r="I234" i="8"/>
  <c r="H234" i="8"/>
  <c r="G234" i="8"/>
  <c r="D37" i="7"/>
  <c r="I142" i="10" s="1"/>
  <c r="B37" i="7"/>
  <c r="A142" i="10" s="1"/>
  <c r="D35" i="7"/>
  <c r="B35" i="7"/>
  <c r="A134" i="10" s="1"/>
  <c r="B33" i="7"/>
  <c r="A129" i="10" s="1"/>
  <c r="E237" i="8" l="1"/>
  <c r="H237" i="8" s="1"/>
  <c r="E234" i="8"/>
  <c r="F234" i="8" s="1"/>
  <c r="F240" i="8" s="1"/>
  <c r="G240" i="8"/>
  <c r="I240" i="8"/>
  <c r="D25" i="7" l="1"/>
  <c r="D24" i="7"/>
  <c r="D23" i="7"/>
  <c r="D22" i="7"/>
  <c r="D21" i="7"/>
  <c r="I96" i="10" s="1"/>
  <c r="B25" i="7"/>
  <c r="B24" i="7"/>
  <c r="B23" i="7"/>
  <c r="B22" i="7"/>
  <c r="B21" i="7"/>
  <c r="A96" i="10" s="1"/>
  <c r="D159" i="8"/>
  <c r="I158" i="8"/>
  <c r="H158" i="8"/>
  <c r="G158" i="8"/>
  <c r="F158" i="8"/>
  <c r="I157" i="8"/>
  <c r="G157" i="8"/>
  <c r="F157" i="8"/>
  <c r="I156" i="8"/>
  <c r="H156" i="8"/>
  <c r="G156" i="8"/>
  <c r="F156" i="8"/>
  <c r="I155" i="8"/>
  <c r="H155" i="8"/>
  <c r="G155" i="8"/>
  <c r="E157" i="8" l="1"/>
  <c r="H157" i="8" s="1"/>
  <c r="H159" i="8" s="1"/>
  <c r="E155" i="8"/>
  <c r="F155" i="8" s="1"/>
  <c r="F159" i="8" s="1"/>
  <c r="I159" i="8"/>
  <c r="G159" i="8"/>
  <c r="C159" i="8" l="1"/>
  <c r="E908" i="8" s="1"/>
  <c r="F35" i="7" l="1"/>
  <c r="F37" i="7"/>
  <c r="F21" i="7"/>
  <c r="F25" i="7"/>
  <c r="F23" i="7"/>
  <c r="F22" i="7"/>
  <c r="F24" i="7"/>
  <c r="G24" i="7" l="1"/>
  <c r="G28" i="15"/>
  <c r="H28" i="15" s="1"/>
  <c r="G25" i="7"/>
  <c r="G29" i="15"/>
  <c r="H29" i="15" s="1"/>
  <c r="G21" i="7"/>
  <c r="G25" i="15"/>
  <c r="H25" i="15" s="1"/>
  <c r="G22" i="7"/>
  <c r="G26" i="15"/>
  <c r="H26" i="15" s="1"/>
  <c r="G37" i="7"/>
  <c r="G41" i="15"/>
  <c r="H41" i="15" s="1"/>
  <c r="G23" i="7"/>
  <c r="G27" i="15"/>
  <c r="H27" i="15" s="1"/>
  <c r="G35" i="7"/>
  <c r="G39" i="15"/>
  <c r="H39" i="15" s="1"/>
  <c r="B30" i="7"/>
  <c r="D30" i="7"/>
  <c r="C71" i="7" l="1"/>
  <c r="B323" i="10" s="1"/>
  <c r="B71" i="7"/>
  <c r="A323" i="10" s="1"/>
  <c r="C70" i="7"/>
  <c r="B317" i="10" s="1"/>
  <c r="B70" i="7"/>
  <c r="A317" i="10" s="1"/>
  <c r="D656" i="8"/>
  <c r="I655" i="8"/>
  <c r="H655" i="8"/>
  <c r="G655" i="8"/>
  <c r="F655" i="8"/>
  <c r="I654" i="8"/>
  <c r="H654" i="8"/>
  <c r="G654" i="8"/>
  <c r="F654" i="8"/>
  <c r="I653" i="8"/>
  <c r="H653" i="8"/>
  <c r="F653" i="8"/>
  <c r="G653" i="8"/>
  <c r="I652" i="8"/>
  <c r="H652" i="8"/>
  <c r="F652" i="8"/>
  <c r="G652" i="8"/>
  <c r="I651" i="8"/>
  <c r="H651" i="8"/>
  <c r="F651" i="8"/>
  <c r="G651" i="8"/>
  <c r="D643" i="8"/>
  <c r="I642" i="8"/>
  <c r="H642" i="8"/>
  <c r="G642" i="8"/>
  <c r="F642" i="8"/>
  <c r="I641" i="8"/>
  <c r="H641" i="8"/>
  <c r="G641" i="8"/>
  <c r="I640" i="8"/>
  <c r="H640" i="8"/>
  <c r="F640" i="8"/>
  <c r="G640" i="8"/>
  <c r="I639" i="8"/>
  <c r="H639" i="8"/>
  <c r="F639" i="8"/>
  <c r="G639" i="8"/>
  <c r="I638" i="8"/>
  <c r="H638" i="8"/>
  <c r="F638" i="8"/>
  <c r="G638" i="8"/>
  <c r="I637" i="8"/>
  <c r="H637" i="8"/>
  <c r="F637" i="8"/>
  <c r="G637" i="8"/>
  <c r="I636" i="8"/>
  <c r="H636" i="8"/>
  <c r="F636" i="8"/>
  <c r="G636" i="8"/>
  <c r="I80" i="8"/>
  <c r="H80" i="8"/>
  <c r="G80" i="8"/>
  <c r="F80" i="8"/>
  <c r="I79" i="8"/>
  <c r="H79" i="8"/>
  <c r="G79" i="8"/>
  <c r="F79" i="8"/>
  <c r="D28" i="7"/>
  <c r="D183" i="8"/>
  <c r="I182" i="8"/>
  <c r="H182" i="8"/>
  <c r="G182" i="8"/>
  <c r="F182" i="8"/>
  <c r="I181" i="8"/>
  <c r="G181" i="8"/>
  <c r="F181" i="8"/>
  <c r="I180" i="8"/>
  <c r="H180" i="8"/>
  <c r="G180" i="8"/>
  <c r="F180" i="8"/>
  <c r="I179" i="8"/>
  <c r="H179" i="8"/>
  <c r="G179" i="8"/>
  <c r="E181" i="8" l="1"/>
  <c r="H181" i="8" s="1"/>
  <c r="H183" i="8" s="1"/>
  <c r="E179" i="8"/>
  <c r="F179" i="8" s="1"/>
  <c r="F183" i="8" s="1"/>
  <c r="H656" i="8"/>
  <c r="I656" i="8"/>
  <c r="F643" i="8"/>
  <c r="I643" i="8"/>
  <c r="H643" i="8"/>
  <c r="G656" i="8"/>
  <c r="F656" i="8"/>
  <c r="G643" i="8"/>
  <c r="I183" i="8"/>
  <c r="G183" i="8"/>
  <c r="C643" i="8" l="1"/>
  <c r="F70" i="7" s="1"/>
  <c r="G74" i="15" s="1"/>
  <c r="H74" i="15" s="1"/>
  <c r="C656" i="8"/>
  <c r="F71" i="7" s="1"/>
  <c r="G75" i="15" s="1"/>
  <c r="H75" i="15" s="1"/>
  <c r="C183" i="8"/>
  <c r="F31" i="7" l="1"/>
  <c r="F28" i="7"/>
  <c r="D16" i="7"/>
  <c r="H80" i="10" s="1"/>
  <c r="C16" i="7"/>
  <c r="B80" i="10" s="1"/>
  <c r="B16" i="7"/>
  <c r="A80" i="10" s="1"/>
  <c r="D111" i="8"/>
  <c r="I109" i="8"/>
  <c r="H109" i="8"/>
  <c r="G109" i="8"/>
  <c r="F109" i="8"/>
  <c r="I108" i="8"/>
  <c r="G108" i="8"/>
  <c r="F108" i="8"/>
  <c r="I107" i="8"/>
  <c r="H107" i="8"/>
  <c r="G107" i="8"/>
  <c r="F107" i="8"/>
  <c r="I106" i="8"/>
  <c r="H106" i="8"/>
  <c r="G106" i="8"/>
  <c r="F106" i="8"/>
  <c r="E108" i="8" s="1"/>
  <c r="H108" i="8" s="1"/>
  <c r="I105" i="8"/>
  <c r="H105" i="8"/>
  <c r="F105" i="8"/>
  <c r="G105" i="8"/>
  <c r="D956" i="8"/>
  <c r="I954" i="8"/>
  <c r="H954" i="8"/>
  <c r="F954" i="8"/>
  <c r="E954" i="8"/>
  <c r="G954" i="8" s="1"/>
  <c r="I953" i="8"/>
  <c r="H953" i="8"/>
  <c r="G953" i="8"/>
  <c r="F953" i="8"/>
  <c r="I952" i="8"/>
  <c r="H952" i="8"/>
  <c r="G952" i="8"/>
  <c r="F952" i="8"/>
  <c r="I951" i="8"/>
  <c r="H951" i="8"/>
  <c r="G951" i="8"/>
  <c r="F951" i="8"/>
  <c r="I950" i="8"/>
  <c r="G950" i="8"/>
  <c r="F950" i="8"/>
  <c r="I949" i="8"/>
  <c r="H949" i="8"/>
  <c r="G949" i="8"/>
  <c r="F949" i="8"/>
  <c r="C77" i="7"/>
  <c r="B423" i="10" s="1"/>
  <c r="D913" i="8"/>
  <c r="D91" i="7"/>
  <c r="I554" i="10" s="1"/>
  <c r="C91" i="7"/>
  <c r="B554" i="10" s="1"/>
  <c r="B91" i="7"/>
  <c r="A554" i="10" s="1"/>
  <c r="I911" i="8"/>
  <c r="G911" i="8"/>
  <c r="F911" i="8"/>
  <c r="I910" i="8"/>
  <c r="H910" i="8"/>
  <c r="G910" i="8"/>
  <c r="F910" i="8"/>
  <c r="I909" i="8"/>
  <c r="H909" i="8"/>
  <c r="F909" i="8"/>
  <c r="G909" i="8"/>
  <c r="I908" i="8"/>
  <c r="H908" i="8"/>
  <c r="G908" i="8"/>
  <c r="F908" i="8"/>
  <c r="I907" i="8"/>
  <c r="H907" i="8"/>
  <c r="G907" i="8"/>
  <c r="F907" i="8"/>
  <c r="I906" i="8"/>
  <c r="H906" i="8"/>
  <c r="G906" i="8"/>
  <c r="F906" i="8"/>
  <c r="I905" i="8"/>
  <c r="H905" i="8"/>
  <c r="G905" i="8"/>
  <c r="F905" i="8"/>
  <c r="I904" i="8"/>
  <c r="H904" i="8"/>
  <c r="G904" i="8"/>
  <c r="F904" i="8"/>
  <c r="I903" i="8"/>
  <c r="H903" i="8"/>
  <c r="G903" i="8"/>
  <c r="F903" i="8"/>
  <c r="I902" i="8"/>
  <c r="H902" i="8"/>
  <c r="G902" i="8"/>
  <c r="F902" i="8"/>
  <c r="I901" i="8"/>
  <c r="H901" i="8"/>
  <c r="G901" i="8"/>
  <c r="F901" i="8"/>
  <c r="I900" i="8"/>
  <c r="H900" i="8"/>
  <c r="G900" i="8"/>
  <c r="F900" i="8"/>
  <c r="I899" i="8"/>
  <c r="H899" i="8"/>
  <c r="G899" i="8"/>
  <c r="F899" i="8"/>
  <c r="I898" i="8"/>
  <c r="H898" i="8"/>
  <c r="G898" i="8"/>
  <c r="F898" i="8"/>
  <c r="I897" i="8"/>
  <c r="H897" i="8"/>
  <c r="F897" i="8"/>
  <c r="G897" i="8"/>
  <c r="I896" i="8"/>
  <c r="H896" i="8"/>
  <c r="F896" i="8"/>
  <c r="G896" i="8"/>
  <c r="G28" i="7" l="1"/>
  <c r="G32" i="15"/>
  <c r="H32" i="15" s="1"/>
  <c r="G31" i="7"/>
  <c r="G35" i="15"/>
  <c r="H35" i="15" s="1"/>
  <c r="E911" i="8"/>
  <c r="H911" i="8" s="1"/>
  <c r="H913" i="8" s="1"/>
  <c r="G111" i="8"/>
  <c r="H111" i="8"/>
  <c r="I111" i="8"/>
  <c r="F111" i="8"/>
  <c r="I956" i="8"/>
  <c r="G956" i="8"/>
  <c r="E950" i="8"/>
  <c r="H950" i="8" s="1"/>
  <c r="H956" i="8" s="1"/>
  <c r="F956" i="8"/>
  <c r="I913" i="8"/>
  <c r="F913" i="8"/>
  <c r="G913" i="8"/>
  <c r="C111" i="8" l="1"/>
  <c r="F16" i="7" s="1"/>
  <c r="C913" i="8"/>
  <c r="F91" i="7" s="1"/>
  <c r="C956" i="8"/>
  <c r="G91" i="7" l="1"/>
  <c r="G95" i="15"/>
  <c r="H95" i="15" s="1"/>
  <c r="G16" i="7"/>
  <c r="G20" i="15"/>
  <c r="H20" i="15" s="1"/>
  <c r="I92" i="8"/>
  <c r="F92" i="8"/>
  <c r="I75" i="8"/>
  <c r="F75" i="8"/>
  <c r="D193" i="8"/>
  <c r="H924" i="8"/>
  <c r="H923" i="8"/>
  <c r="D92" i="7"/>
  <c r="C92" i="7"/>
  <c r="B92" i="7"/>
  <c r="D928" i="8"/>
  <c r="I927" i="8"/>
  <c r="H927" i="8"/>
  <c r="G927" i="8"/>
  <c r="F927" i="8"/>
  <c r="I926" i="8"/>
  <c r="H926" i="8"/>
  <c r="G926" i="8"/>
  <c r="F926" i="8"/>
  <c r="I925" i="8"/>
  <c r="H925" i="8"/>
  <c r="G925" i="8"/>
  <c r="F925" i="8"/>
  <c r="I924" i="8"/>
  <c r="G924" i="8"/>
  <c r="F924" i="8"/>
  <c r="I923" i="8"/>
  <c r="G923" i="8"/>
  <c r="F923" i="8"/>
  <c r="I921" i="8"/>
  <c r="H921" i="8"/>
  <c r="G921" i="8"/>
  <c r="F921" i="8"/>
  <c r="I928" i="8" l="1"/>
  <c r="F928" i="8"/>
  <c r="G928" i="8"/>
  <c r="H928" i="8"/>
  <c r="C928" i="8" l="1"/>
  <c r="F92" i="7" s="1"/>
  <c r="G92" i="7" l="1"/>
  <c r="G96" i="15"/>
  <c r="H96" i="15" s="1"/>
  <c r="D90" i="7"/>
  <c r="I549" i="10" s="1"/>
  <c r="C90" i="7"/>
  <c r="B549" i="10" s="1"/>
  <c r="B90" i="7"/>
  <c r="A549" i="10" s="1"/>
  <c r="D89" i="7"/>
  <c r="I542" i="10" s="1"/>
  <c r="C89" i="7"/>
  <c r="B542" i="10" s="1"/>
  <c r="B89" i="7"/>
  <c r="A542" i="10" s="1"/>
  <c r="D888" i="8"/>
  <c r="I887" i="8"/>
  <c r="H887" i="8"/>
  <c r="G887" i="8"/>
  <c r="F887" i="8"/>
  <c r="I886" i="8"/>
  <c r="H886" i="8"/>
  <c r="F886" i="8"/>
  <c r="G886" i="8"/>
  <c r="H885" i="8"/>
  <c r="G885" i="8"/>
  <c r="F885" i="8"/>
  <c r="I884" i="8"/>
  <c r="G884" i="8"/>
  <c r="F884" i="8"/>
  <c r="I883" i="8"/>
  <c r="H883" i="8"/>
  <c r="G883" i="8"/>
  <c r="F883" i="8"/>
  <c r="E884" i="8" s="1"/>
  <c r="H884" i="8" s="1"/>
  <c r="I882" i="8"/>
  <c r="H882" i="8"/>
  <c r="F882" i="8"/>
  <c r="G882" i="8"/>
  <c r="I881" i="8"/>
  <c r="H881" i="8"/>
  <c r="F881" i="8"/>
  <c r="G881" i="8"/>
  <c r="I871" i="8"/>
  <c r="H871" i="8"/>
  <c r="G871" i="8"/>
  <c r="F871" i="8"/>
  <c r="I870" i="8"/>
  <c r="H870" i="8"/>
  <c r="G870" i="8"/>
  <c r="F870" i="8"/>
  <c r="I869" i="8"/>
  <c r="H869" i="8"/>
  <c r="F869" i="8"/>
  <c r="G869" i="8"/>
  <c r="I868" i="8"/>
  <c r="H868" i="8"/>
  <c r="F868" i="8"/>
  <c r="G868" i="8"/>
  <c r="D86" i="7"/>
  <c r="L502" i="10" s="1"/>
  <c r="I850" i="8"/>
  <c r="G850" i="8"/>
  <c r="F850" i="8"/>
  <c r="D747" i="8"/>
  <c r="I747" i="8"/>
  <c r="G747" i="8"/>
  <c r="F747" i="8"/>
  <c r="D78" i="7"/>
  <c r="I458" i="10" s="1"/>
  <c r="C78" i="7"/>
  <c r="B458" i="10" s="1"/>
  <c r="B78" i="7"/>
  <c r="A458" i="10" s="1"/>
  <c r="F743" i="8"/>
  <c r="F745" i="8" s="1"/>
  <c r="G743" i="8"/>
  <c r="H743" i="8"/>
  <c r="I743" i="8"/>
  <c r="G745" i="8"/>
  <c r="H745" i="8"/>
  <c r="I745" i="8"/>
  <c r="I744" i="8"/>
  <c r="H744" i="8"/>
  <c r="G744" i="8"/>
  <c r="D751" i="8"/>
  <c r="I750" i="8"/>
  <c r="H750" i="8"/>
  <c r="G750" i="8"/>
  <c r="F750" i="8"/>
  <c r="I749" i="8"/>
  <c r="G749" i="8"/>
  <c r="F749" i="8"/>
  <c r="I748" i="8"/>
  <c r="H748" i="8"/>
  <c r="F748" i="8"/>
  <c r="D18" i="7"/>
  <c r="D147" i="8"/>
  <c r="C18" i="7"/>
  <c r="B18" i="7"/>
  <c r="D66" i="8"/>
  <c r="D13" i="7"/>
  <c r="H59" i="10" s="1"/>
  <c r="E13" i="7" s="1"/>
  <c r="G73" i="7" s="1"/>
  <c r="C13" i="7"/>
  <c r="B59" i="10" s="1"/>
  <c r="B13" i="7"/>
  <c r="A59" i="10" s="1"/>
  <c r="D51" i="8"/>
  <c r="D12" i="7"/>
  <c r="C12" i="7"/>
  <c r="B53" i="10" s="1"/>
  <c r="B12" i="7"/>
  <c r="A53" i="10" s="1"/>
  <c r="I65" i="8"/>
  <c r="H65" i="8"/>
  <c r="G65" i="8"/>
  <c r="F65" i="8"/>
  <c r="I64" i="8"/>
  <c r="G64" i="8"/>
  <c r="F64" i="8"/>
  <c r="I63" i="8"/>
  <c r="H63" i="8"/>
  <c r="F63" i="8"/>
  <c r="D63" i="8"/>
  <c r="I62" i="8"/>
  <c r="H62" i="8"/>
  <c r="F62" i="8"/>
  <c r="D62" i="8"/>
  <c r="I61" i="8"/>
  <c r="H61" i="8"/>
  <c r="F61" i="8"/>
  <c r="D61" i="8"/>
  <c r="G61" i="8" s="1"/>
  <c r="I60" i="8"/>
  <c r="H60" i="8"/>
  <c r="F60" i="8"/>
  <c r="D60" i="8"/>
  <c r="I59" i="8"/>
  <c r="H59" i="8"/>
  <c r="D59" i="8"/>
  <c r="F59" i="8" s="1"/>
  <c r="I50" i="8"/>
  <c r="H50" i="8"/>
  <c r="G50" i="8"/>
  <c r="F50" i="8"/>
  <c r="I49" i="8"/>
  <c r="H49" i="8"/>
  <c r="G49" i="8"/>
  <c r="F49" i="8"/>
  <c r="I48" i="8"/>
  <c r="H48" i="8"/>
  <c r="F48" i="8"/>
  <c r="I47" i="8"/>
  <c r="H47" i="8"/>
  <c r="F47" i="8"/>
  <c r="I46" i="8"/>
  <c r="H46" i="8"/>
  <c r="G46" i="8"/>
  <c r="F46" i="8"/>
  <c r="I45" i="8"/>
  <c r="H45" i="8"/>
  <c r="F45" i="8"/>
  <c r="I44" i="8"/>
  <c r="H44" i="8"/>
  <c r="G44" i="8"/>
  <c r="F44" i="8"/>
  <c r="E63" i="8" l="1"/>
  <c r="G63" i="8" s="1"/>
  <c r="E60" i="8"/>
  <c r="G60" i="8" s="1"/>
  <c r="E62" i="8"/>
  <c r="G62" i="8" s="1"/>
  <c r="H64" i="8"/>
  <c r="H66" i="8" s="1"/>
  <c r="E48" i="8"/>
  <c r="G48" i="8" s="1"/>
  <c r="E45" i="8"/>
  <c r="G45" i="8" s="1"/>
  <c r="E47" i="8"/>
  <c r="G47" i="8" s="1"/>
  <c r="G873" i="8"/>
  <c r="I873" i="8"/>
  <c r="E885" i="8"/>
  <c r="I885" i="8" s="1"/>
  <c r="I888" i="8" s="1"/>
  <c r="E744" i="8"/>
  <c r="F744" i="8" s="1"/>
  <c r="F751" i="8" s="1"/>
  <c r="H51" i="8"/>
  <c r="I66" i="8"/>
  <c r="E749" i="8"/>
  <c r="H749" i="8" s="1"/>
  <c r="H873" i="8"/>
  <c r="F873" i="8"/>
  <c r="F888" i="8"/>
  <c r="G888" i="8"/>
  <c r="H888" i="8"/>
  <c r="I751" i="8"/>
  <c r="G751" i="8"/>
  <c r="I51" i="8"/>
  <c r="F51" i="8"/>
  <c r="F66" i="8"/>
  <c r="G51" i="8" l="1"/>
  <c r="C51" i="8" s="1"/>
  <c r="F12" i="7" s="1"/>
  <c r="G16" i="15" s="1"/>
  <c r="H16" i="15" s="1"/>
  <c r="G66" i="8"/>
  <c r="C66" i="8" s="1"/>
  <c r="F13" i="7" s="1"/>
  <c r="C873" i="8"/>
  <c r="F89" i="7" s="1"/>
  <c r="C888" i="8"/>
  <c r="F90" i="7" s="1"/>
  <c r="G89" i="7" l="1"/>
  <c r="G93" i="15"/>
  <c r="H93" i="15" s="1"/>
  <c r="G13" i="7"/>
  <c r="G17" i="15"/>
  <c r="H17" i="15" s="1"/>
  <c r="G90" i="7"/>
  <c r="G94" i="15"/>
  <c r="H94" i="15" s="1"/>
  <c r="D385" i="8"/>
  <c r="D440" i="8"/>
  <c r="I440" i="8"/>
  <c r="G440" i="8"/>
  <c r="F440" i="8"/>
  <c r="I423" i="8"/>
  <c r="G423" i="8"/>
  <c r="F423" i="8"/>
  <c r="D423" i="8"/>
  <c r="D405" i="8"/>
  <c r="I405" i="8"/>
  <c r="G405" i="8"/>
  <c r="F405" i="8"/>
  <c r="I385" i="8"/>
  <c r="G385" i="8"/>
  <c r="F385" i="8"/>
  <c r="I366" i="8"/>
  <c r="G366" i="8"/>
  <c r="F366" i="8"/>
  <c r="I353" i="8"/>
  <c r="G353" i="8"/>
  <c r="F353" i="8"/>
  <c r="I193" i="8"/>
  <c r="F193" i="8"/>
  <c r="H11" i="10"/>
  <c r="B11" i="10"/>
  <c r="A11" i="10"/>
  <c r="I771" i="8"/>
  <c r="G771" i="8"/>
  <c r="F771" i="8"/>
  <c r="I820" i="8"/>
  <c r="G820" i="8"/>
  <c r="F820" i="8"/>
  <c r="I789" i="8"/>
  <c r="G789" i="8"/>
  <c r="F789" i="8"/>
  <c r="D666" i="8"/>
  <c r="I666" i="8"/>
  <c r="G666" i="8"/>
  <c r="F666" i="8"/>
  <c r="I461" i="8"/>
  <c r="G461" i="8"/>
  <c r="F461" i="8"/>
  <c r="I338" i="8"/>
  <c r="G338" i="8"/>
  <c r="F338" i="8"/>
  <c r="I251" i="8"/>
  <c r="G251" i="8"/>
  <c r="F251" i="8"/>
  <c r="I223" i="8"/>
  <c r="G223" i="8"/>
  <c r="F223" i="8"/>
  <c r="D984" i="8"/>
  <c r="I983" i="8"/>
  <c r="H983" i="8"/>
  <c r="G983" i="8"/>
  <c r="F983" i="8"/>
  <c r="H982" i="8"/>
  <c r="I981" i="8"/>
  <c r="I980" i="8"/>
  <c r="H980" i="8"/>
  <c r="G980" i="8"/>
  <c r="F980" i="8"/>
  <c r="H979" i="8"/>
  <c r="H978" i="8"/>
  <c r="I977" i="8"/>
  <c r="H977" i="8"/>
  <c r="G977" i="8"/>
  <c r="F977" i="8"/>
  <c r="D96" i="7"/>
  <c r="C96" i="7"/>
  <c r="B96" i="7"/>
  <c r="B27" i="7"/>
  <c r="B86" i="7"/>
  <c r="A502" i="10" s="1"/>
  <c r="I146" i="8"/>
  <c r="H146" i="8"/>
  <c r="G146" i="8"/>
  <c r="F146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I136" i="8"/>
  <c r="H136" i="8"/>
  <c r="G136" i="8"/>
  <c r="F136" i="8"/>
  <c r="I135" i="8"/>
  <c r="H135" i="8"/>
  <c r="G135" i="8"/>
  <c r="F135" i="8"/>
  <c r="I134" i="8"/>
  <c r="H134" i="8"/>
  <c r="G134" i="8"/>
  <c r="F134" i="8"/>
  <c r="I133" i="8"/>
  <c r="H133" i="8"/>
  <c r="F133" i="8"/>
  <c r="I132" i="8"/>
  <c r="H132" i="8"/>
  <c r="G132" i="8"/>
  <c r="F132" i="8"/>
  <c r="I672" i="8"/>
  <c r="H672" i="8"/>
  <c r="G672" i="8"/>
  <c r="F672" i="8"/>
  <c r="I671" i="8"/>
  <c r="H671" i="8"/>
  <c r="G671" i="8"/>
  <c r="F671" i="8"/>
  <c r="I670" i="8"/>
  <c r="H670" i="8"/>
  <c r="G670" i="8"/>
  <c r="F670" i="8"/>
  <c r="I669" i="8"/>
  <c r="G669" i="8"/>
  <c r="F669" i="8"/>
  <c r="I668" i="8"/>
  <c r="H668" i="8"/>
  <c r="F668" i="8"/>
  <c r="I596" i="8"/>
  <c r="H596" i="8"/>
  <c r="G596" i="8"/>
  <c r="F596" i="8"/>
  <c r="I595" i="8"/>
  <c r="H595" i="8"/>
  <c r="G595" i="8"/>
  <c r="F595" i="8"/>
  <c r="I594" i="8"/>
  <c r="H594" i="8"/>
  <c r="F594" i="8"/>
  <c r="I600" i="8"/>
  <c r="H600" i="8"/>
  <c r="G600" i="8"/>
  <c r="F600" i="8"/>
  <c r="I597" i="8"/>
  <c r="H597" i="8"/>
  <c r="G597" i="8"/>
  <c r="F597" i="8"/>
  <c r="I464" i="8"/>
  <c r="H464" i="8"/>
  <c r="G464" i="8"/>
  <c r="F464" i="8"/>
  <c r="F410" i="8"/>
  <c r="G410" i="8"/>
  <c r="H410" i="8"/>
  <c r="I410" i="8"/>
  <c r="I392" i="8"/>
  <c r="H392" i="8"/>
  <c r="G392" i="8"/>
  <c r="F392" i="8"/>
  <c r="I389" i="8"/>
  <c r="H389" i="8"/>
  <c r="G389" i="8"/>
  <c r="F389" i="8"/>
  <c r="I388" i="8"/>
  <c r="H388" i="8"/>
  <c r="G388" i="8"/>
  <c r="F388" i="8"/>
  <c r="I386" i="8"/>
  <c r="H386" i="8"/>
  <c r="G386" i="8"/>
  <c r="F386" i="8"/>
  <c r="E387" i="8" s="1"/>
  <c r="I384" i="8"/>
  <c r="H384" i="8"/>
  <c r="G384" i="8"/>
  <c r="F384" i="8"/>
  <c r="I383" i="8"/>
  <c r="H383" i="8"/>
  <c r="G383" i="8"/>
  <c r="F383" i="8"/>
  <c r="I371" i="8"/>
  <c r="G371" i="8"/>
  <c r="F371" i="8"/>
  <c r="F370" i="8"/>
  <c r="G370" i="8"/>
  <c r="H370" i="8"/>
  <c r="I370" i="8"/>
  <c r="I369" i="8"/>
  <c r="H369" i="8"/>
  <c r="G369" i="8"/>
  <c r="F369" i="8"/>
  <c r="I368" i="8"/>
  <c r="H368" i="8"/>
  <c r="G368" i="8"/>
  <c r="F368" i="8"/>
  <c r="F282" i="8"/>
  <c r="G282" i="8"/>
  <c r="I282" i="8"/>
  <c r="I278" i="8"/>
  <c r="H278" i="8"/>
  <c r="G278" i="8"/>
  <c r="F278" i="8"/>
  <c r="I252" i="8"/>
  <c r="G252" i="8"/>
  <c r="F252" i="8"/>
  <c r="E598" i="8" l="1"/>
  <c r="E594" i="8"/>
  <c r="G594" i="8" s="1"/>
  <c r="G984" i="8"/>
  <c r="H984" i="8"/>
  <c r="F984" i="8"/>
  <c r="I984" i="8"/>
  <c r="F147" i="8"/>
  <c r="I147" i="8"/>
  <c r="H147" i="8"/>
  <c r="E599" i="8"/>
  <c r="C984" i="8" l="1"/>
  <c r="C990" i="8" l="1"/>
  <c r="E75" i="8" s="1"/>
  <c r="H240" i="8"/>
  <c r="C240" i="8" s="1"/>
  <c r="E385" i="8" l="1"/>
  <c r="E193" i="8"/>
  <c r="H193" i="8" s="1"/>
  <c r="E353" i="8"/>
  <c r="E223" i="8"/>
  <c r="H223" i="8" s="1"/>
  <c r="E338" i="8"/>
  <c r="H338" i="8" s="1"/>
  <c r="E366" i="8"/>
  <c r="H366" i="8" s="1"/>
  <c r="H353" i="8"/>
  <c r="E92" i="8"/>
  <c r="E820" i="8"/>
  <c r="H820" i="8" s="1"/>
  <c r="E251" i="8"/>
  <c r="H251" i="8" s="1"/>
  <c r="E771" i="8"/>
  <c r="H771" i="8" s="1"/>
  <c r="E461" i="8"/>
  <c r="H461" i="8" s="1"/>
  <c r="H385" i="8"/>
  <c r="E405" i="8"/>
  <c r="H405" i="8" s="1"/>
  <c r="E789" i="8"/>
  <c r="H789" i="8" s="1"/>
  <c r="E423" i="8"/>
  <c r="H423" i="8" s="1"/>
  <c r="E747" i="8"/>
  <c r="H747" i="8" s="1"/>
  <c r="H751" i="8" s="1"/>
  <c r="C751" i="8" s="1"/>
  <c r="F78" i="7" s="1"/>
  <c r="E666" i="8"/>
  <c r="H666" i="8" s="1"/>
  <c r="E850" i="8"/>
  <c r="H850" i="8" s="1"/>
  <c r="E440" i="8"/>
  <c r="H440" i="8" s="1"/>
  <c r="I221" i="8"/>
  <c r="H221" i="8"/>
  <c r="G221" i="8"/>
  <c r="F221" i="8"/>
  <c r="D27" i="7"/>
  <c r="G167" i="8"/>
  <c r="H167" i="8"/>
  <c r="I167" i="8"/>
  <c r="F168" i="8"/>
  <c r="G168" i="8"/>
  <c r="H168" i="8"/>
  <c r="F169" i="8"/>
  <c r="G169" i="8"/>
  <c r="F170" i="8"/>
  <c r="G170" i="8"/>
  <c r="H170" i="8"/>
  <c r="I170" i="8"/>
  <c r="D171" i="8"/>
  <c r="D33" i="7" s="1"/>
  <c r="G78" i="7" l="1"/>
  <c r="G82" i="15"/>
  <c r="H82" i="15" s="1"/>
  <c r="E169" i="8"/>
  <c r="H169" i="8" s="1"/>
  <c r="H171" i="8" s="1"/>
  <c r="E167" i="8"/>
  <c r="F167" i="8" s="1"/>
  <c r="F171" i="8" s="1"/>
  <c r="I169" i="8"/>
  <c r="G171" i="8"/>
  <c r="I168" i="8"/>
  <c r="I171" i="8" l="1"/>
  <c r="C171" i="8" s="1"/>
  <c r="F30" i="7" l="1"/>
  <c r="F33" i="7"/>
  <c r="F27" i="7"/>
  <c r="G31" i="15" s="1"/>
  <c r="H31" i="15" s="1"/>
  <c r="F96" i="7"/>
  <c r="G100" i="15" s="1"/>
  <c r="H100" i="15" s="1"/>
  <c r="G33" i="7" l="1"/>
  <c r="G37" i="15"/>
  <c r="H37" i="15" s="1"/>
  <c r="G30" i="7"/>
  <c r="G34" i="15"/>
  <c r="H34" i="15" s="1"/>
  <c r="I34" i="8"/>
  <c r="H34" i="8"/>
  <c r="G34" i="8"/>
  <c r="F34" i="8"/>
  <c r="I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E33" i="8" s="1"/>
  <c r="H33" i="8" s="1"/>
  <c r="D80" i="7" l="1"/>
  <c r="I473" i="10" s="1"/>
  <c r="C80" i="7"/>
  <c r="B473" i="10" s="1"/>
  <c r="B80" i="7"/>
  <c r="A473" i="10" s="1"/>
  <c r="D775" i="8"/>
  <c r="I774" i="8"/>
  <c r="H774" i="8"/>
  <c r="G774" i="8"/>
  <c r="F774" i="8"/>
  <c r="I773" i="8"/>
  <c r="G773" i="8"/>
  <c r="F773" i="8"/>
  <c r="I772" i="8"/>
  <c r="H772" i="8"/>
  <c r="G772" i="8"/>
  <c r="F772" i="8"/>
  <c r="I770" i="8"/>
  <c r="H770" i="8"/>
  <c r="F770" i="8"/>
  <c r="G770" i="8"/>
  <c r="I775" i="8" l="1"/>
  <c r="G775" i="8"/>
  <c r="F775" i="8"/>
  <c r="E773" i="8"/>
  <c r="H773" i="8" s="1"/>
  <c r="H775" i="8" s="1"/>
  <c r="C775" i="8" l="1"/>
  <c r="F80" i="7" s="1"/>
  <c r="G80" i="7" l="1"/>
  <c r="G84" i="15"/>
  <c r="H84" i="15" s="1"/>
  <c r="C99" i="7"/>
  <c r="B99" i="7"/>
  <c r="C97" i="7" l="1"/>
  <c r="B97" i="7"/>
  <c r="D968" i="8"/>
  <c r="D97" i="7" s="1"/>
  <c r="I967" i="8"/>
  <c r="H967" i="8"/>
  <c r="G967" i="8"/>
  <c r="F967" i="8"/>
  <c r="I966" i="8"/>
  <c r="G966" i="8"/>
  <c r="F966" i="8"/>
  <c r="I965" i="8"/>
  <c r="H965" i="8"/>
  <c r="G965" i="8"/>
  <c r="F965" i="8"/>
  <c r="E966" i="8" s="1"/>
  <c r="H966" i="8" s="1"/>
  <c r="H964" i="8"/>
  <c r="G964" i="8"/>
  <c r="F964" i="8"/>
  <c r="G968" i="8" l="1"/>
  <c r="F968" i="8"/>
  <c r="I964" i="8"/>
  <c r="I968" i="8" s="1"/>
  <c r="H968" i="8"/>
  <c r="C968" i="8" l="1"/>
  <c r="F97" i="7" l="1"/>
  <c r="C98" i="7"/>
  <c r="B586" i="10" s="1"/>
  <c r="B592" i="10" s="1"/>
  <c r="B98" i="7"/>
  <c r="A586" i="10" s="1"/>
  <c r="G97" i="7" l="1"/>
  <c r="G101" i="15"/>
  <c r="H101" i="15" s="1"/>
  <c r="D829" i="8"/>
  <c r="G829" i="8" s="1"/>
  <c r="C15" i="7" l="1"/>
  <c r="B74" i="10" s="1"/>
  <c r="B15" i="7"/>
  <c r="A74" i="10" s="1"/>
  <c r="D74" i="8"/>
  <c r="D75" i="8" s="1"/>
  <c r="H75" i="8" s="1"/>
  <c r="D97" i="8"/>
  <c r="I96" i="8"/>
  <c r="H96" i="8"/>
  <c r="G96" i="8"/>
  <c r="F96" i="8"/>
  <c r="I95" i="8"/>
  <c r="G95" i="8"/>
  <c r="F95" i="8"/>
  <c r="I94" i="8"/>
  <c r="H94" i="8"/>
  <c r="G94" i="8"/>
  <c r="F94" i="8"/>
  <c r="I93" i="8"/>
  <c r="H93" i="8"/>
  <c r="G93" i="8"/>
  <c r="F93" i="8"/>
  <c r="I91" i="8"/>
  <c r="H91" i="8"/>
  <c r="F91" i="8"/>
  <c r="D91" i="8"/>
  <c r="E95" i="8" l="1"/>
  <c r="H95" i="8" s="1"/>
  <c r="G91" i="8"/>
  <c r="G97" i="8" s="1"/>
  <c r="D92" i="8"/>
  <c r="H92" i="8" s="1"/>
  <c r="D15" i="7"/>
  <c r="H74" i="10" s="1"/>
  <c r="I97" i="8"/>
  <c r="F97" i="8"/>
  <c r="H97" i="8" l="1"/>
  <c r="C97" i="8" s="1"/>
  <c r="G827" i="8"/>
  <c r="F15" i="7" l="1"/>
  <c r="G88" i="7"/>
  <c r="G15" i="7" l="1"/>
  <c r="G19" i="15"/>
  <c r="H19" i="15" s="1"/>
  <c r="C72" i="7"/>
  <c r="B329" i="10" s="1"/>
  <c r="B72" i="7"/>
  <c r="A329" i="10" s="1"/>
  <c r="C69" i="7"/>
  <c r="B310" i="10" s="1"/>
  <c r="B69" i="7"/>
  <c r="A310" i="10" s="1"/>
  <c r="C68" i="7"/>
  <c r="B304" i="10" s="1"/>
  <c r="B68" i="7"/>
  <c r="A304" i="10" s="1"/>
  <c r="C67" i="7"/>
  <c r="B296" i="10" s="1"/>
  <c r="B67" i="7"/>
  <c r="A296" i="10" s="1"/>
  <c r="C66" i="7"/>
  <c r="B287" i="10" s="1"/>
  <c r="B66" i="7"/>
  <c r="A287" i="10" s="1"/>
  <c r="D65" i="7"/>
  <c r="H279" i="10" s="1"/>
  <c r="C65" i="7"/>
  <c r="B279" i="10" s="1"/>
  <c r="B65" i="7"/>
  <c r="A279" i="10" s="1"/>
  <c r="C61" i="7"/>
  <c r="B252" i="10" s="1"/>
  <c r="B61" i="7"/>
  <c r="A252" i="10" s="1"/>
  <c r="C60" i="7"/>
  <c r="B60" i="7"/>
  <c r="A245" i="10" s="1"/>
  <c r="D57" i="7"/>
  <c r="I224" i="10" s="1"/>
  <c r="B57" i="7"/>
  <c r="A224" i="10" s="1"/>
  <c r="C55" i="7"/>
  <c r="B216" i="10" s="1"/>
  <c r="B55" i="7"/>
  <c r="A216" i="10" s="1"/>
  <c r="C54" i="7"/>
  <c r="B210" i="10" s="1"/>
  <c r="B54" i="7"/>
  <c r="A210" i="10" s="1"/>
  <c r="C53" i="7"/>
  <c r="B204" i="10" s="1"/>
  <c r="B53" i="7"/>
  <c r="A204" i="10" s="1"/>
  <c r="C52" i="7"/>
  <c r="B52" i="7"/>
  <c r="D51" i="7"/>
  <c r="C51" i="7"/>
  <c r="B51" i="7"/>
  <c r="D50" i="7"/>
  <c r="F193" i="10" s="1"/>
  <c r="C50" i="7"/>
  <c r="B193" i="10" s="1"/>
  <c r="B50" i="7"/>
  <c r="A193" i="10" s="1"/>
  <c r="D49" i="7"/>
  <c r="F182" i="10" s="1"/>
  <c r="C49" i="7"/>
  <c r="B182" i="10" s="1"/>
  <c r="B49" i="7"/>
  <c r="A182" i="10" s="1"/>
  <c r="C48" i="7"/>
  <c r="B176" i="10" s="1"/>
  <c r="B48" i="7"/>
  <c r="A176" i="10" s="1"/>
  <c r="C46" i="7"/>
  <c r="B46" i="7"/>
  <c r="C45" i="7"/>
  <c r="B168" i="10" s="1"/>
  <c r="B45" i="7"/>
  <c r="A168" i="10" s="1"/>
  <c r="C44" i="7"/>
  <c r="B44" i="7"/>
  <c r="A162" i="10" s="1"/>
  <c r="C43" i="7"/>
  <c r="B43" i="7"/>
  <c r="A156" i="10" s="1"/>
  <c r="C42" i="7"/>
  <c r="B150" i="10" s="1"/>
  <c r="B42" i="7"/>
  <c r="A150" i="10" s="1"/>
  <c r="D40" i="7"/>
  <c r="C40" i="7"/>
  <c r="B40" i="7"/>
  <c r="D39" i="7"/>
  <c r="C39" i="7"/>
  <c r="B39" i="7"/>
  <c r="D38" i="7"/>
  <c r="C38" i="7"/>
  <c r="B38" i="7"/>
  <c r="C17" i="7"/>
  <c r="B85" i="10" s="1"/>
  <c r="B17" i="7"/>
  <c r="A85" i="10" s="1"/>
  <c r="C14" i="7"/>
  <c r="B68" i="10" s="1"/>
  <c r="B14" i="7"/>
  <c r="A68" i="10" s="1"/>
  <c r="C11" i="7"/>
  <c r="B22" i="10" s="1"/>
  <c r="B47" i="10" s="1"/>
  <c r="B11" i="7"/>
  <c r="A22" i="10" s="1"/>
  <c r="A47" i="10" s="1"/>
  <c r="C10" i="7"/>
  <c r="B16" i="10" s="1"/>
  <c r="B10" i="7"/>
  <c r="A16" i="10" s="1"/>
  <c r="G71" i="7"/>
  <c r="G70" i="7"/>
  <c r="E48" i="7"/>
  <c r="D675" i="8"/>
  <c r="I674" i="8"/>
  <c r="H674" i="8"/>
  <c r="G674" i="8"/>
  <c r="F674" i="8"/>
  <c r="I673" i="8"/>
  <c r="G673" i="8"/>
  <c r="I667" i="8"/>
  <c r="H667" i="8"/>
  <c r="G667" i="8"/>
  <c r="F667" i="8"/>
  <c r="E669" i="8" s="1"/>
  <c r="H669" i="8" s="1"/>
  <c r="I665" i="8"/>
  <c r="H665" i="8"/>
  <c r="G665" i="8"/>
  <c r="F665" i="8"/>
  <c r="I664" i="8"/>
  <c r="H664" i="8"/>
  <c r="G664" i="8"/>
  <c r="F664" i="8"/>
  <c r="D628" i="8"/>
  <c r="I626" i="8"/>
  <c r="G626" i="8"/>
  <c r="F626" i="8"/>
  <c r="I625" i="8"/>
  <c r="H625" i="8"/>
  <c r="G625" i="8"/>
  <c r="F625" i="8"/>
  <c r="E626" i="8" s="1"/>
  <c r="H626" i="8" s="1"/>
  <c r="I624" i="8"/>
  <c r="H624" i="8"/>
  <c r="G624" i="8"/>
  <c r="F624" i="8"/>
  <c r="I623" i="8"/>
  <c r="H623" i="8"/>
  <c r="G623" i="8"/>
  <c r="F623" i="8"/>
  <c r="I622" i="8"/>
  <c r="H622" i="8"/>
  <c r="G622" i="8"/>
  <c r="F622" i="8"/>
  <c r="I621" i="8"/>
  <c r="H621" i="8"/>
  <c r="G621" i="8"/>
  <c r="F621" i="8"/>
  <c r="D613" i="8"/>
  <c r="I612" i="8"/>
  <c r="H612" i="8"/>
  <c r="G612" i="8"/>
  <c r="F612" i="8"/>
  <c r="I611" i="8"/>
  <c r="H611" i="8"/>
  <c r="G611" i="8"/>
  <c r="F611" i="8"/>
  <c r="I610" i="8"/>
  <c r="H610" i="8"/>
  <c r="F610" i="8"/>
  <c r="D602" i="8"/>
  <c r="I599" i="8"/>
  <c r="G599" i="8"/>
  <c r="F599" i="8"/>
  <c r="I598" i="8"/>
  <c r="H598" i="8"/>
  <c r="G598" i="8"/>
  <c r="F598" i="8"/>
  <c r="D586" i="8"/>
  <c r="I585" i="8"/>
  <c r="H585" i="8"/>
  <c r="G585" i="8"/>
  <c r="F585" i="8"/>
  <c r="I584" i="8"/>
  <c r="G584" i="8"/>
  <c r="F584" i="8"/>
  <c r="I583" i="8"/>
  <c r="H583" i="8"/>
  <c r="G583" i="8"/>
  <c r="F583" i="8"/>
  <c r="E584" i="8" s="1"/>
  <c r="H584" i="8" s="1"/>
  <c r="I582" i="8"/>
  <c r="H582" i="8"/>
  <c r="G582" i="8"/>
  <c r="F582" i="8"/>
  <c r="I581" i="8"/>
  <c r="H581" i="8"/>
  <c r="G581" i="8"/>
  <c r="F581" i="8"/>
  <c r="I579" i="8"/>
  <c r="H579" i="8"/>
  <c r="G579" i="8"/>
  <c r="F579" i="8"/>
  <c r="D571" i="8"/>
  <c r="I570" i="8"/>
  <c r="H570" i="8"/>
  <c r="G570" i="8"/>
  <c r="F570" i="8"/>
  <c r="I569" i="8"/>
  <c r="G569" i="8"/>
  <c r="F569" i="8"/>
  <c r="I568" i="8"/>
  <c r="H568" i="8"/>
  <c r="G568" i="8"/>
  <c r="F568" i="8"/>
  <c r="E569" i="8" s="1"/>
  <c r="H569" i="8" s="1"/>
  <c r="I567" i="8"/>
  <c r="H567" i="8"/>
  <c r="G567" i="8"/>
  <c r="F567" i="8"/>
  <c r="D514" i="8"/>
  <c r="I513" i="8"/>
  <c r="H513" i="8"/>
  <c r="G513" i="8"/>
  <c r="F513" i="8"/>
  <c r="I512" i="8"/>
  <c r="H512" i="8"/>
  <c r="G512" i="8"/>
  <c r="F512" i="8"/>
  <c r="I511" i="8"/>
  <c r="H511" i="8"/>
  <c r="G511" i="8"/>
  <c r="F511" i="8"/>
  <c r="I510" i="8"/>
  <c r="H510" i="8"/>
  <c r="F510" i="8"/>
  <c r="G510" i="8"/>
  <c r="G509" i="8"/>
  <c r="G508" i="8"/>
  <c r="I507" i="8"/>
  <c r="H507" i="8"/>
  <c r="G507" i="8"/>
  <c r="F507" i="8"/>
  <c r="D499" i="8"/>
  <c r="I498" i="8"/>
  <c r="H498" i="8"/>
  <c r="G498" i="8"/>
  <c r="F498" i="8"/>
  <c r="I497" i="8"/>
  <c r="G497" i="8"/>
  <c r="F497" i="8"/>
  <c r="I496" i="8"/>
  <c r="H496" i="8"/>
  <c r="G496" i="8"/>
  <c r="F496" i="8"/>
  <c r="I495" i="8"/>
  <c r="H495" i="8"/>
  <c r="G495" i="8"/>
  <c r="F495" i="8"/>
  <c r="I494" i="8"/>
  <c r="H494" i="8"/>
  <c r="G494" i="8"/>
  <c r="F494" i="8"/>
  <c r="I493" i="8"/>
  <c r="H493" i="8"/>
  <c r="G493" i="8"/>
  <c r="F493" i="8"/>
  <c r="I492" i="8"/>
  <c r="H492" i="8"/>
  <c r="G492" i="8"/>
  <c r="F492" i="8"/>
  <c r="I491" i="8"/>
  <c r="H491" i="8"/>
  <c r="G491" i="8"/>
  <c r="F491" i="8"/>
  <c r="D467" i="8"/>
  <c r="I466" i="8"/>
  <c r="H466" i="8"/>
  <c r="G466" i="8"/>
  <c r="F466" i="8"/>
  <c r="I465" i="8"/>
  <c r="H465" i="8"/>
  <c r="G465" i="8"/>
  <c r="F465" i="8"/>
  <c r="I463" i="8"/>
  <c r="G463" i="8"/>
  <c r="F463" i="8"/>
  <c r="I462" i="8"/>
  <c r="H462" i="8"/>
  <c r="G462" i="8"/>
  <c r="F462" i="8"/>
  <c r="E463" i="8" s="1"/>
  <c r="H463" i="8" s="1"/>
  <c r="I459" i="8"/>
  <c r="H459" i="8"/>
  <c r="F459" i="8"/>
  <c r="G459" i="8"/>
  <c r="I458" i="8"/>
  <c r="H458" i="8"/>
  <c r="G458" i="8"/>
  <c r="F458" i="8"/>
  <c r="D450" i="8"/>
  <c r="I449" i="8"/>
  <c r="H449" i="8"/>
  <c r="G449" i="8"/>
  <c r="F449" i="8"/>
  <c r="I448" i="8"/>
  <c r="G448" i="8"/>
  <c r="F448" i="8"/>
  <c r="I447" i="8"/>
  <c r="H447" i="8"/>
  <c r="G447" i="8"/>
  <c r="F447" i="8"/>
  <c r="I446" i="8"/>
  <c r="H446" i="8"/>
  <c r="G446" i="8"/>
  <c r="F446" i="8"/>
  <c r="I445" i="8"/>
  <c r="H445" i="8"/>
  <c r="G445" i="8"/>
  <c r="F445" i="8"/>
  <c r="I444" i="8"/>
  <c r="H444" i="8"/>
  <c r="G444" i="8"/>
  <c r="F444" i="8"/>
  <c r="I443" i="8"/>
  <c r="H443" i="8"/>
  <c r="G443" i="8"/>
  <c r="F443" i="8"/>
  <c r="I442" i="8"/>
  <c r="H442" i="8"/>
  <c r="G442" i="8"/>
  <c r="F442" i="8"/>
  <c r="I441" i="8"/>
  <c r="H441" i="8"/>
  <c r="G441" i="8"/>
  <c r="F441" i="8"/>
  <c r="I438" i="8"/>
  <c r="H438" i="8"/>
  <c r="G438" i="8"/>
  <c r="F438" i="8"/>
  <c r="D430" i="8"/>
  <c r="I429" i="8"/>
  <c r="H429" i="8"/>
  <c r="G429" i="8"/>
  <c r="F429" i="8"/>
  <c r="I428" i="8"/>
  <c r="G428" i="8"/>
  <c r="F428" i="8"/>
  <c r="H428" i="8"/>
  <c r="I427" i="8"/>
  <c r="G427" i="8"/>
  <c r="F427" i="8"/>
  <c r="I426" i="8"/>
  <c r="H426" i="8"/>
  <c r="G426" i="8"/>
  <c r="H427" i="8"/>
  <c r="I425" i="8"/>
  <c r="H425" i="8"/>
  <c r="F425" i="8"/>
  <c r="G425" i="8"/>
  <c r="I424" i="8"/>
  <c r="H424" i="8"/>
  <c r="F424" i="8"/>
  <c r="G424" i="8"/>
  <c r="I422" i="8"/>
  <c r="H422" i="8"/>
  <c r="G422" i="8"/>
  <c r="F422" i="8"/>
  <c r="D414" i="8"/>
  <c r="I412" i="8"/>
  <c r="G412" i="8"/>
  <c r="F412" i="8"/>
  <c r="I411" i="8"/>
  <c r="H411" i="8"/>
  <c r="G411" i="8"/>
  <c r="F411" i="8"/>
  <c r="H412" i="8" s="1"/>
  <c r="I409" i="8"/>
  <c r="H409" i="8"/>
  <c r="F409" i="8"/>
  <c r="G409" i="8"/>
  <c r="I408" i="8"/>
  <c r="H408" i="8"/>
  <c r="G408" i="8"/>
  <c r="F408" i="8"/>
  <c r="I407" i="8"/>
  <c r="F407" i="8"/>
  <c r="G407" i="8"/>
  <c r="I406" i="8"/>
  <c r="H406" i="8"/>
  <c r="F406" i="8"/>
  <c r="E407" i="8" s="1"/>
  <c r="H407" i="8" s="1"/>
  <c r="G406" i="8"/>
  <c r="I404" i="8"/>
  <c r="H404" i="8"/>
  <c r="F404" i="8"/>
  <c r="G404" i="8"/>
  <c r="I403" i="8"/>
  <c r="H403" i="8"/>
  <c r="F403" i="8"/>
  <c r="G403" i="8"/>
  <c r="D395" i="8"/>
  <c r="I394" i="8"/>
  <c r="H394" i="8"/>
  <c r="G394" i="8"/>
  <c r="F394" i="8"/>
  <c r="I387" i="8"/>
  <c r="G387" i="8"/>
  <c r="F387" i="8"/>
  <c r="H387" i="8"/>
  <c r="I393" i="8"/>
  <c r="H393" i="8"/>
  <c r="G393" i="8"/>
  <c r="F393" i="8"/>
  <c r="I391" i="8"/>
  <c r="H391" i="8"/>
  <c r="G391" i="8"/>
  <c r="F391" i="8"/>
  <c r="G390" i="8"/>
  <c r="D375" i="8"/>
  <c r="I374" i="8"/>
  <c r="H374" i="8"/>
  <c r="G374" i="8"/>
  <c r="F374" i="8"/>
  <c r="I373" i="8"/>
  <c r="H373" i="8"/>
  <c r="G373" i="8"/>
  <c r="F373" i="8"/>
  <c r="I372" i="8"/>
  <c r="H372" i="8"/>
  <c r="G372" i="8"/>
  <c r="F372" i="8"/>
  <c r="I367" i="8"/>
  <c r="H367" i="8"/>
  <c r="G367" i="8"/>
  <c r="F367" i="8"/>
  <c r="I365" i="8"/>
  <c r="H365" i="8"/>
  <c r="G365" i="8"/>
  <c r="F365" i="8"/>
  <c r="D357" i="8"/>
  <c r="I356" i="8"/>
  <c r="H356" i="8"/>
  <c r="G356" i="8"/>
  <c r="F356" i="8"/>
  <c r="I355" i="8"/>
  <c r="G355" i="8"/>
  <c r="F355" i="8"/>
  <c r="I354" i="8"/>
  <c r="H354" i="8"/>
  <c r="G354" i="8"/>
  <c r="F354" i="8"/>
  <c r="I352" i="8"/>
  <c r="H352" i="8"/>
  <c r="G352" i="8"/>
  <c r="F352" i="8"/>
  <c r="D344" i="8"/>
  <c r="I341" i="8"/>
  <c r="H341" i="8"/>
  <c r="G341" i="8"/>
  <c r="F341" i="8"/>
  <c r="H340" i="8"/>
  <c r="G340" i="8"/>
  <c r="F340" i="8"/>
  <c r="I339" i="8"/>
  <c r="G339" i="8"/>
  <c r="F339" i="8"/>
  <c r="I337" i="8"/>
  <c r="H337" i="8"/>
  <c r="G337" i="8"/>
  <c r="F337" i="8"/>
  <c r="I336" i="8"/>
  <c r="H336" i="8"/>
  <c r="G336" i="8"/>
  <c r="F336" i="8"/>
  <c r="I335" i="8"/>
  <c r="H335" i="8"/>
  <c r="G335" i="8"/>
  <c r="F335" i="8"/>
  <c r="I334" i="8"/>
  <c r="H334" i="8"/>
  <c r="G334" i="8"/>
  <c r="F334" i="8"/>
  <c r="I333" i="8"/>
  <c r="H333" i="8"/>
  <c r="G333" i="8"/>
  <c r="F333" i="8"/>
  <c r="I332" i="8"/>
  <c r="H332" i="8"/>
  <c r="G332" i="8"/>
  <c r="F332" i="8"/>
  <c r="I331" i="8"/>
  <c r="H331" i="8"/>
  <c r="G331" i="8"/>
  <c r="F331" i="8"/>
  <c r="I330" i="8"/>
  <c r="H330" i="8"/>
  <c r="G330" i="8"/>
  <c r="F330" i="8"/>
  <c r="D322" i="8"/>
  <c r="I321" i="8"/>
  <c r="H321" i="8"/>
  <c r="G321" i="8"/>
  <c r="F321" i="8"/>
  <c r="I320" i="8"/>
  <c r="H320" i="8"/>
  <c r="G320" i="8"/>
  <c r="F320" i="8"/>
  <c r="I319" i="8"/>
  <c r="H319" i="8"/>
  <c r="G319" i="8"/>
  <c r="F319" i="8"/>
  <c r="I318" i="8"/>
  <c r="H318" i="8"/>
  <c r="F318" i="8"/>
  <c r="I317" i="8"/>
  <c r="H317" i="8"/>
  <c r="F317" i="8"/>
  <c r="D309" i="8"/>
  <c r="I307" i="8"/>
  <c r="H307" i="8"/>
  <c r="G307" i="8"/>
  <c r="F307" i="8"/>
  <c r="I306" i="8"/>
  <c r="H306" i="8"/>
  <c r="G306" i="8"/>
  <c r="F306" i="8"/>
  <c r="I305" i="8"/>
  <c r="H305" i="8"/>
  <c r="G305" i="8"/>
  <c r="F305" i="8"/>
  <c r="D297" i="8"/>
  <c r="I295" i="8"/>
  <c r="G295" i="8"/>
  <c r="F295" i="8"/>
  <c r="I294" i="8"/>
  <c r="H294" i="8"/>
  <c r="G294" i="8"/>
  <c r="F294" i="8"/>
  <c r="I293" i="8"/>
  <c r="H293" i="8"/>
  <c r="G293" i="8"/>
  <c r="F293" i="8"/>
  <c r="I292" i="8"/>
  <c r="H292" i="8"/>
  <c r="F292" i="8"/>
  <c r="G292" i="8"/>
  <c r="D284" i="8"/>
  <c r="I283" i="8"/>
  <c r="H283" i="8"/>
  <c r="G283" i="8"/>
  <c r="F283" i="8"/>
  <c r="I281" i="8"/>
  <c r="H281" i="8"/>
  <c r="F281" i="8"/>
  <c r="G281" i="8"/>
  <c r="I280" i="8"/>
  <c r="H280" i="8"/>
  <c r="G280" i="8"/>
  <c r="F280" i="8"/>
  <c r="I279" i="8"/>
  <c r="H279" i="8"/>
  <c r="G279" i="8"/>
  <c r="F279" i="8"/>
  <c r="I277" i="8"/>
  <c r="H277" i="8"/>
  <c r="F277" i="8"/>
  <c r="G277" i="8"/>
  <c r="D269" i="8"/>
  <c r="I268" i="8"/>
  <c r="H268" i="8"/>
  <c r="G268" i="8"/>
  <c r="F268" i="8"/>
  <c r="I267" i="8"/>
  <c r="G267" i="8"/>
  <c r="F267" i="8"/>
  <c r="I266" i="8"/>
  <c r="H266" i="8"/>
  <c r="G266" i="8"/>
  <c r="F266" i="8"/>
  <c r="I265" i="8"/>
  <c r="H265" i="8"/>
  <c r="G265" i="8"/>
  <c r="F265" i="8"/>
  <c r="I264" i="8"/>
  <c r="H264" i="8"/>
  <c r="G264" i="8"/>
  <c r="F264" i="8"/>
  <c r="I263" i="8"/>
  <c r="H263" i="8"/>
  <c r="F263" i="8"/>
  <c r="G263" i="8"/>
  <c r="D255" i="8"/>
  <c r="I253" i="8"/>
  <c r="H253" i="8"/>
  <c r="G253" i="8"/>
  <c r="F253" i="8"/>
  <c r="I249" i="8"/>
  <c r="H249" i="8"/>
  <c r="G249" i="8"/>
  <c r="F249" i="8"/>
  <c r="I248" i="8"/>
  <c r="H248" i="8"/>
  <c r="G248" i="8"/>
  <c r="D226" i="8"/>
  <c r="I225" i="8"/>
  <c r="H225" i="8"/>
  <c r="G225" i="8"/>
  <c r="F225" i="8"/>
  <c r="I224" i="8"/>
  <c r="H224" i="8"/>
  <c r="G224" i="8"/>
  <c r="F224" i="8"/>
  <c r="I222" i="8"/>
  <c r="G222" i="8"/>
  <c r="F222" i="8"/>
  <c r="I220" i="8"/>
  <c r="H220" i="8"/>
  <c r="I219" i="8"/>
  <c r="H219" i="8"/>
  <c r="G219" i="8"/>
  <c r="F219" i="8"/>
  <c r="D211" i="8"/>
  <c r="I210" i="8"/>
  <c r="H210" i="8"/>
  <c r="G210" i="8"/>
  <c r="F210" i="8"/>
  <c r="I209" i="8"/>
  <c r="G209" i="8"/>
  <c r="F209" i="8"/>
  <c r="I208" i="8"/>
  <c r="H208" i="8"/>
  <c r="F208" i="8"/>
  <c r="I207" i="8"/>
  <c r="H207" i="8"/>
  <c r="G207" i="8"/>
  <c r="I206" i="8"/>
  <c r="H206" i="8"/>
  <c r="G206" i="8"/>
  <c r="F206" i="8"/>
  <c r="D198" i="8"/>
  <c r="I197" i="8"/>
  <c r="H197" i="8"/>
  <c r="G197" i="8"/>
  <c r="F197" i="8"/>
  <c r="I196" i="8"/>
  <c r="H196" i="8"/>
  <c r="G196" i="8"/>
  <c r="F196" i="8"/>
  <c r="I195" i="8"/>
  <c r="G195" i="8"/>
  <c r="F195" i="8"/>
  <c r="H194" i="8"/>
  <c r="G194" i="8"/>
  <c r="F194" i="8"/>
  <c r="I192" i="8"/>
  <c r="H192" i="8"/>
  <c r="G192" i="8"/>
  <c r="F192" i="8"/>
  <c r="G191" i="8"/>
  <c r="I190" i="8"/>
  <c r="H190" i="8"/>
  <c r="G190" i="8"/>
  <c r="F190" i="8"/>
  <c r="D124" i="8"/>
  <c r="G122" i="8"/>
  <c r="F122" i="8"/>
  <c r="I121" i="8"/>
  <c r="G121" i="8"/>
  <c r="F121" i="8"/>
  <c r="I120" i="8"/>
  <c r="H120" i="8"/>
  <c r="G120" i="8"/>
  <c r="F120" i="8"/>
  <c r="I119" i="8"/>
  <c r="G119" i="8"/>
  <c r="H119" i="8"/>
  <c r="D83" i="8"/>
  <c r="I81" i="8"/>
  <c r="H81" i="8"/>
  <c r="G81" i="8"/>
  <c r="F81" i="8"/>
  <c r="I78" i="8"/>
  <c r="G78" i="8"/>
  <c r="F78" i="8"/>
  <c r="I77" i="8"/>
  <c r="H77" i="8"/>
  <c r="G77" i="8"/>
  <c r="F77" i="8"/>
  <c r="I76" i="8"/>
  <c r="H76" i="8"/>
  <c r="G76" i="8"/>
  <c r="F76" i="8"/>
  <c r="I74" i="8"/>
  <c r="H74" i="8"/>
  <c r="F74" i="8"/>
  <c r="G74" i="8"/>
  <c r="D36" i="8"/>
  <c r="I35" i="8"/>
  <c r="H35" i="8"/>
  <c r="G35" i="8"/>
  <c r="F35" i="8"/>
  <c r="D22" i="8"/>
  <c r="I20" i="8"/>
  <c r="G20" i="8"/>
  <c r="F20" i="8"/>
  <c r="I19" i="8"/>
  <c r="G19" i="8"/>
  <c r="F19" i="8"/>
  <c r="H20" i="8" s="1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E668" i="8" l="1"/>
  <c r="G668" i="8" s="1"/>
  <c r="E282" i="8"/>
  <c r="H282" i="8" s="1"/>
  <c r="H284" i="8" s="1"/>
  <c r="I269" i="8"/>
  <c r="E497" i="8"/>
  <c r="H497" i="8" s="1"/>
  <c r="H499" i="8" s="1"/>
  <c r="E448" i="8"/>
  <c r="H448" i="8" s="1"/>
  <c r="H450" i="8" s="1"/>
  <c r="E78" i="8"/>
  <c r="H78" i="8" s="1"/>
  <c r="H83" i="8" s="1"/>
  <c r="E119" i="8"/>
  <c r="F119" i="8" s="1"/>
  <c r="F124" i="8" s="1"/>
  <c r="E122" i="8"/>
  <c r="H122" i="8" s="1"/>
  <c r="E195" i="8"/>
  <c r="H195" i="8" s="1"/>
  <c r="H198" i="8" s="1"/>
  <c r="E194" i="8"/>
  <c r="I194" i="8" s="1"/>
  <c r="I198" i="8" s="1"/>
  <c r="E355" i="8"/>
  <c r="H355" i="8" s="1"/>
  <c r="H357" i="8" s="1"/>
  <c r="E295" i="8"/>
  <c r="H295" i="8" s="1"/>
  <c r="H297" i="8" s="1"/>
  <c r="E222" i="8"/>
  <c r="H222" i="8" s="1"/>
  <c r="H226" i="8" s="1"/>
  <c r="E220" i="8"/>
  <c r="E339" i="8"/>
  <c r="H339" i="8" s="1"/>
  <c r="H344" i="8" s="1"/>
  <c r="E340" i="8"/>
  <c r="I340" i="8" s="1"/>
  <c r="I344" i="8" s="1"/>
  <c r="E207" i="8"/>
  <c r="F207" i="8" s="1"/>
  <c r="F211" i="8" s="1"/>
  <c r="E209" i="8"/>
  <c r="H209" i="8" s="1"/>
  <c r="H211" i="8" s="1"/>
  <c r="E267" i="8"/>
  <c r="H267" i="8" s="1"/>
  <c r="H269" i="8" s="1"/>
  <c r="E371" i="8"/>
  <c r="H371" i="8" s="1"/>
  <c r="H375" i="8" s="1"/>
  <c r="E19" i="8"/>
  <c r="H19" i="8" s="1"/>
  <c r="H22" i="8" s="1"/>
  <c r="E15" i="8"/>
  <c r="F15" i="8" s="1"/>
  <c r="F22" i="8" s="1"/>
  <c r="G610" i="8"/>
  <c r="G613" i="8" s="1"/>
  <c r="F675" i="8"/>
  <c r="E248" i="8"/>
  <c r="F248" i="8" s="1"/>
  <c r="F255" i="8" s="1"/>
  <c r="E252" i="8"/>
  <c r="H252" i="8" s="1"/>
  <c r="H255" i="8" s="1"/>
  <c r="I375" i="8"/>
  <c r="H613" i="8"/>
  <c r="F628" i="8"/>
  <c r="H322" i="8"/>
  <c r="I613" i="8"/>
  <c r="G628" i="8"/>
  <c r="F322" i="8"/>
  <c r="G322" i="8"/>
  <c r="G255" i="8"/>
  <c r="G22" i="8"/>
  <c r="I255" i="8"/>
  <c r="G309" i="8"/>
  <c r="I322" i="8"/>
  <c r="H309" i="8"/>
  <c r="F375" i="8"/>
  <c r="I297" i="8"/>
  <c r="G344" i="8"/>
  <c r="D10" i="7"/>
  <c r="F16" i="10" s="1"/>
  <c r="D11" i="7"/>
  <c r="D14" i="7"/>
  <c r="D99" i="7"/>
  <c r="D42" i="7"/>
  <c r="D45" i="7"/>
  <c r="F168" i="10" s="1"/>
  <c r="D52" i="7"/>
  <c r="D53" i="7"/>
  <c r="H204" i="10" s="1"/>
  <c r="D54" i="7"/>
  <c r="I210" i="10" s="1"/>
  <c r="D55" i="7"/>
  <c r="K216" i="10" s="1"/>
  <c r="D68" i="7"/>
  <c r="F304" i="10" s="1"/>
  <c r="D98" i="7"/>
  <c r="I586" i="10" s="1"/>
  <c r="D46" i="7"/>
  <c r="D48" i="7"/>
  <c r="I176" i="10" s="1"/>
  <c r="D69" i="7"/>
  <c r="I310" i="10" s="1"/>
  <c r="D61" i="7"/>
  <c r="I252" i="10" s="1"/>
  <c r="D66" i="7"/>
  <c r="J287" i="10" s="1"/>
  <c r="D72" i="7"/>
  <c r="I329" i="10" s="1"/>
  <c r="D17" i="7"/>
  <c r="I85" i="10" s="1"/>
  <c r="D43" i="7"/>
  <c r="D44" i="7"/>
  <c r="D60" i="7"/>
  <c r="I245" i="10" s="1"/>
  <c r="D67" i="7"/>
  <c r="F296" i="10" s="1"/>
  <c r="F357" i="8"/>
  <c r="G297" i="8"/>
  <c r="I430" i="8"/>
  <c r="I467" i="8"/>
  <c r="F499" i="8"/>
  <c r="F297" i="8"/>
  <c r="I211" i="8"/>
  <c r="F269" i="8"/>
  <c r="F571" i="8"/>
  <c r="F586" i="8"/>
  <c r="I499" i="8"/>
  <c r="I514" i="8"/>
  <c r="G602" i="8"/>
  <c r="F395" i="8"/>
  <c r="I36" i="8"/>
  <c r="F36" i="8"/>
  <c r="H36" i="8"/>
  <c r="I83" i="8"/>
  <c r="I309" i="8"/>
  <c r="I357" i="8"/>
  <c r="G450" i="8"/>
  <c r="H514" i="8"/>
  <c r="H571" i="8"/>
  <c r="F613" i="8"/>
  <c r="I628" i="8"/>
  <c r="G83" i="8"/>
  <c r="F198" i="8"/>
  <c r="G357" i="8"/>
  <c r="H628" i="8"/>
  <c r="G375" i="8"/>
  <c r="F450" i="8"/>
  <c r="F467" i="8"/>
  <c r="G571" i="8"/>
  <c r="G586" i="8"/>
  <c r="G675" i="8"/>
  <c r="I122" i="8"/>
  <c r="I124" i="8" s="1"/>
  <c r="G36" i="8"/>
  <c r="G395" i="8"/>
  <c r="G499" i="8"/>
  <c r="F514" i="8"/>
  <c r="I571" i="8"/>
  <c r="H586" i="8"/>
  <c r="I602" i="8"/>
  <c r="G414" i="8"/>
  <c r="I22" i="8"/>
  <c r="F83" i="8"/>
  <c r="G124" i="8"/>
  <c r="G211" i="8"/>
  <c r="F344" i="8"/>
  <c r="H395" i="8"/>
  <c r="I414" i="8"/>
  <c r="H414" i="8"/>
  <c r="G430" i="8"/>
  <c r="I450" i="8"/>
  <c r="G514" i="8"/>
  <c r="I586" i="8"/>
  <c r="F602" i="8"/>
  <c r="I675" i="8"/>
  <c r="F309" i="8"/>
  <c r="G198" i="8"/>
  <c r="I226" i="8"/>
  <c r="F284" i="8"/>
  <c r="I395" i="8"/>
  <c r="F414" i="8"/>
  <c r="H430" i="8"/>
  <c r="F430" i="8"/>
  <c r="G467" i="8"/>
  <c r="H675" i="8"/>
  <c r="G284" i="8"/>
  <c r="I284" i="8"/>
  <c r="H467" i="8"/>
  <c r="G269" i="8"/>
  <c r="H599" i="8"/>
  <c r="H602" i="8" s="1"/>
  <c r="H121" i="8"/>
  <c r="H124" i="8" l="1"/>
  <c r="C22" i="8"/>
  <c r="C198" i="8"/>
  <c r="G22" i="10"/>
  <c r="H47" i="10" s="1"/>
  <c r="G24" i="10"/>
  <c r="F58" i="7"/>
  <c r="G220" i="8"/>
  <c r="G226" i="8" s="1"/>
  <c r="F220" i="8"/>
  <c r="F226" i="8" s="1"/>
  <c r="C255" i="8"/>
  <c r="C322" i="8"/>
  <c r="F46" i="7" s="1"/>
  <c r="C375" i="8"/>
  <c r="F50" i="7" s="1"/>
  <c r="C297" i="8"/>
  <c r="C499" i="8"/>
  <c r="C602" i="8"/>
  <c r="C628" i="8"/>
  <c r="C613" i="8"/>
  <c r="C450" i="8"/>
  <c r="C83" i="8"/>
  <c r="C467" i="8"/>
  <c r="C344" i="8"/>
  <c r="C430" i="8"/>
  <c r="C309" i="8"/>
  <c r="C514" i="8"/>
  <c r="C124" i="8"/>
  <c r="C414" i="8"/>
  <c r="C571" i="8"/>
  <c r="F64" i="7" s="1"/>
  <c r="C395" i="8"/>
  <c r="C36" i="8"/>
  <c r="C211" i="8"/>
  <c r="C357" i="8"/>
  <c r="C675" i="8"/>
  <c r="C586" i="8"/>
  <c r="C269" i="8"/>
  <c r="C284" i="8"/>
  <c r="G50" i="7" l="1"/>
  <c r="G54" i="15"/>
  <c r="H54" i="15" s="1"/>
  <c r="G64" i="7"/>
  <c r="G68" i="15"/>
  <c r="H68" i="15" s="1"/>
  <c r="G46" i="7"/>
  <c r="G50" i="15"/>
  <c r="H50" i="15" s="1"/>
  <c r="G58" i="7"/>
  <c r="G62" i="15"/>
  <c r="H62" i="15" s="1"/>
  <c r="C226" i="8"/>
  <c r="F40" i="7" s="1"/>
  <c r="F86" i="7"/>
  <c r="F57" i="7"/>
  <c r="F11" i="7"/>
  <c r="F45" i="7"/>
  <c r="F14" i="7"/>
  <c r="F68" i="7"/>
  <c r="F60" i="7"/>
  <c r="F43" i="7"/>
  <c r="F72" i="7"/>
  <c r="F51" i="7"/>
  <c r="F17" i="7"/>
  <c r="F53" i="7"/>
  <c r="F69" i="7"/>
  <c r="F42" i="7"/>
  <c r="F49" i="7"/>
  <c r="F65" i="7"/>
  <c r="F38" i="7"/>
  <c r="F48" i="7"/>
  <c r="F54" i="7"/>
  <c r="F67" i="7"/>
  <c r="F44" i="7"/>
  <c r="F66" i="7"/>
  <c r="G12" i="7"/>
  <c r="F52" i="7"/>
  <c r="F61" i="7"/>
  <c r="F55" i="7"/>
  <c r="F10" i="7"/>
  <c r="F39" i="7"/>
  <c r="F98" i="7"/>
  <c r="G27" i="7"/>
  <c r="G96" i="7"/>
  <c r="G54" i="7" l="1"/>
  <c r="G58" i="15"/>
  <c r="H58" i="15" s="1"/>
  <c r="G17" i="7"/>
  <c r="G21" i="15"/>
  <c r="H21" i="15" s="1"/>
  <c r="G11" i="7"/>
  <c r="G15" i="15"/>
  <c r="H15" i="15" s="1"/>
  <c r="G10" i="7"/>
  <c r="G14" i="15"/>
  <c r="H14" i="15" s="1"/>
  <c r="G49" i="7"/>
  <c r="G53" i="15"/>
  <c r="H53" i="15" s="1"/>
  <c r="G60" i="7"/>
  <c r="G64" i="15"/>
  <c r="H64" i="15" s="1"/>
  <c r="G55" i="7"/>
  <c r="G59" i="15"/>
  <c r="H59" i="15" s="1"/>
  <c r="G66" i="7"/>
  <c r="G70" i="15"/>
  <c r="H70" i="15" s="1"/>
  <c r="G48" i="7"/>
  <c r="G52" i="15"/>
  <c r="H52" i="15" s="1"/>
  <c r="G42" i="7"/>
  <c r="G46" i="15"/>
  <c r="H46" i="15" s="1"/>
  <c r="G51" i="7"/>
  <c r="G55" i="15"/>
  <c r="H55" i="15" s="1"/>
  <c r="G68" i="7"/>
  <c r="G72" i="15"/>
  <c r="H72" i="15" s="1"/>
  <c r="G57" i="7"/>
  <c r="G61" i="15"/>
  <c r="H61" i="15" s="1"/>
  <c r="G98" i="7"/>
  <c r="G102" i="15"/>
  <c r="H102" i="15" s="1"/>
  <c r="G38" i="7"/>
  <c r="G42" i="15"/>
  <c r="H42" i="15" s="1"/>
  <c r="G14" i="7"/>
  <c r="G18" i="15"/>
  <c r="H18" i="15" s="1"/>
  <c r="G61" i="7"/>
  <c r="G65" i="15"/>
  <c r="H65" i="15" s="1"/>
  <c r="G44" i="7"/>
  <c r="G48" i="15"/>
  <c r="H48" i="15" s="1"/>
  <c r="G69" i="7"/>
  <c r="G73" i="15"/>
  <c r="H73" i="15" s="1"/>
  <c r="G72" i="7"/>
  <c r="G76" i="15"/>
  <c r="H76" i="15" s="1"/>
  <c r="G86" i="7"/>
  <c r="G90" i="15"/>
  <c r="H90" i="15" s="1"/>
  <c r="G39" i="7"/>
  <c r="G43" i="15"/>
  <c r="H43" i="15" s="1"/>
  <c r="G52" i="7"/>
  <c r="G56" i="15"/>
  <c r="H56" i="15" s="1"/>
  <c r="G67" i="7"/>
  <c r="G71" i="15"/>
  <c r="H71" i="15" s="1"/>
  <c r="G65" i="7"/>
  <c r="G69" i="15"/>
  <c r="H69" i="15" s="1"/>
  <c r="G53" i="7"/>
  <c r="G57" i="15"/>
  <c r="H57" i="15" s="1"/>
  <c r="G43" i="7"/>
  <c r="G47" i="15"/>
  <c r="H47" i="15" s="1"/>
  <c r="G45" i="7"/>
  <c r="G49" i="15"/>
  <c r="H49" i="15" s="1"/>
  <c r="G40" i="7"/>
  <c r="G44" i="15"/>
  <c r="H44" i="15" s="1"/>
  <c r="F99" i="7"/>
  <c r="C84" i="7"/>
  <c r="B492" i="10" s="1"/>
  <c r="B84" i="7"/>
  <c r="A492" i="10" s="1"/>
  <c r="D860" i="8"/>
  <c r="I859" i="8"/>
  <c r="H859" i="8"/>
  <c r="G859" i="8"/>
  <c r="F859" i="8"/>
  <c r="I858" i="8"/>
  <c r="G858" i="8"/>
  <c r="F858" i="8"/>
  <c r="I857" i="8"/>
  <c r="H857" i="8"/>
  <c r="G857" i="8"/>
  <c r="F857" i="8"/>
  <c r="E858" i="8" s="1"/>
  <c r="H858" i="8" s="1"/>
  <c r="I856" i="8"/>
  <c r="H856" i="8"/>
  <c r="G856" i="8"/>
  <c r="F856" i="8"/>
  <c r="I855" i="8"/>
  <c r="H855" i="8"/>
  <c r="G855" i="8"/>
  <c r="F855" i="8"/>
  <c r="I854" i="8"/>
  <c r="H854" i="8"/>
  <c r="G854" i="8"/>
  <c r="F854" i="8"/>
  <c r="I853" i="8"/>
  <c r="H853" i="8"/>
  <c r="G853" i="8"/>
  <c r="F853" i="8"/>
  <c r="I852" i="8"/>
  <c r="H852" i="8"/>
  <c r="G852" i="8"/>
  <c r="F852" i="8"/>
  <c r="I851" i="8"/>
  <c r="H851" i="8"/>
  <c r="G851" i="8"/>
  <c r="F851" i="8"/>
  <c r="G99" i="7" l="1"/>
  <c r="G103" i="15"/>
  <c r="H103" i="15" s="1"/>
  <c r="D84" i="7"/>
  <c r="J492" i="10" s="1"/>
  <c r="F860" i="8"/>
  <c r="I860" i="8"/>
  <c r="G860" i="8"/>
  <c r="H860" i="8"/>
  <c r="G828" i="8"/>
  <c r="C860" i="8" l="1"/>
  <c r="F84" i="7" l="1"/>
  <c r="G84" i="7" l="1"/>
  <c r="G88" i="15"/>
  <c r="H88" i="15" s="1"/>
  <c r="B77" i="7"/>
  <c r="A423" i="10" s="1"/>
  <c r="D735" i="8"/>
  <c r="I734" i="8"/>
  <c r="H734" i="8"/>
  <c r="G734" i="8"/>
  <c r="F734" i="8"/>
  <c r="I733" i="8"/>
  <c r="G733" i="8"/>
  <c r="F733" i="8"/>
  <c r="I732" i="8"/>
  <c r="H732" i="8"/>
  <c r="G732" i="8"/>
  <c r="F732" i="8"/>
  <c r="I731" i="8"/>
  <c r="H731" i="8"/>
  <c r="G731" i="8"/>
  <c r="F731" i="8"/>
  <c r="I730" i="8"/>
  <c r="H730" i="8"/>
  <c r="G730" i="8"/>
  <c r="F730" i="8"/>
  <c r="I729" i="8"/>
  <c r="H729" i="8"/>
  <c r="G729" i="8"/>
  <c r="F729" i="8"/>
  <c r="I728" i="8"/>
  <c r="H728" i="8"/>
  <c r="G728" i="8"/>
  <c r="F728" i="8"/>
  <c r="E733" i="8" l="1"/>
  <c r="H733" i="8" s="1"/>
  <c r="H735" i="8" s="1"/>
  <c r="D77" i="7"/>
  <c r="I423" i="10" s="1"/>
  <c r="I735" i="8"/>
  <c r="F735" i="8"/>
  <c r="G735" i="8"/>
  <c r="C735" i="8" l="1"/>
  <c r="F77" i="7" l="1"/>
  <c r="G79" i="7"/>
  <c r="D83" i="7"/>
  <c r="J487" i="10" s="1"/>
  <c r="C83" i="7"/>
  <c r="B487" i="10" s="1"/>
  <c r="B83" i="7"/>
  <c r="A487" i="10" s="1"/>
  <c r="D841" i="8"/>
  <c r="I840" i="8"/>
  <c r="H840" i="8"/>
  <c r="G840" i="8"/>
  <c r="F840" i="8"/>
  <c r="I839" i="8"/>
  <c r="H839" i="8"/>
  <c r="G839" i="8"/>
  <c r="F839" i="8"/>
  <c r="I838" i="8"/>
  <c r="H838" i="8"/>
  <c r="G838" i="8"/>
  <c r="F838" i="8"/>
  <c r="I837" i="8"/>
  <c r="H837" i="8"/>
  <c r="G837" i="8"/>
  <c r="F837" i="8"/>
  <c r="I836" i="8"/>
  <c r="H836" i="8"/>
  <c r="G836" i="8"/>
  <c r="F836" i="8"/>
  <c r="I835" i="8"/>
  <c r="H835" i="8"/>
  <c r="G835" i="8"/>
  <c r="F835" i="8"/>
  <c r="I834" i="8"/>
  <c r="H834" i="8"/>
  <c r="G834" i="8"/>
  <c r="F834" i="8"/>
  <c r="I833" i="8"/>
  <c r="H833" i="8"/>
  <c r="G833" i="8"/>
  <c r="F833" i="8"/>
  <c r="I832" i="8"/>
  <c r="H832" i="8"/>
  <c r="G832" i="8"/>
  <c r="F832" i="8"/>
  <c r="I831" i="8"/>
  <c r="H831" i="8"/>
  <c r="G831" i="8"/>
  <c r="F831" i="8"/>
  <c r="I830" i="8"/>
  <c r="H830" i="8"/>
  <c r="G830" i="8"/>
  <c r="F830" i="8"/>
  <c r="I826" i="8"/>
  <c r="H826" i="8"/>
  <c r="F826" i="8"/>
  <c r="G826" i="8"/>
  <c r="I825" i="8"/>
  <c r="H825" i="8"/>
  <c r="G825" i="8"/>
  <c r="F825" i="8"/>
  <c r="I824" i="8"/>
  <c r="H824" i="8"/>
  <c r="F824" i="8"/>
  <c r="G824" i="8"/>
  <c r="I823" i="8"/>
  <c r="H823" i="8"/>
  <c r="F823" i="8"/>
  <c r="G823" i="8"/>
  <c r="I822" i="8"/>
  <c r="H822" i="8"/>
  <c r="F822" i="8"/>
  <c r="G822" i="8"/>
  <c r="I821" i="8"/>
  <c r="H821" i="8"/>
  <c r="F821" i="8"/>
  <c r="G821" i="8"/>
  <c r="I819" i="8"/>
  <c r="H819" i="8"/>
  <c r="G819" i="8"/>
  <c r="F819" i="8"/>
  <c r="I818" i="8"/>
  <c r="G818" i="8"/>
  <c r="F818" i="8"/>
  <c r="I817" i="8"/>
  <c r="G817" i="8"/>
  <c r="F817" i="8"/>
  <c r="H817" i="8"/>
  <c r="I816" i="8"/>
  <c r="G816" i="8"/>
  <c r="F816" i="8"/>
  <c r="H816" i="8"/>
  <c r="I815" i="8"/>
  <c r="G815" i="8"/>
  <c r="F815" i="8"/>
  <c r="H815" i="8"/>
  <c r="I814" i="8"/>
  <c r="G814" i="8"/>
  <c r="F814" i="8"/>
  <c r="H814" i="8"/>
  <c r="I813" i="8"/>
  <c r="G813" i="8"/>
  <c r="F813" i="8"/>
  <c r="H813" i="8"/>
  <c r="G77" i="7" l="1"/>
  <c r="G81" i="15"/>
  <c r="H81" i="15" s="1"/>
  <c r="G841" i="8"/>
  <c r="F841" i="8"/>
  <c r="E818" i="8" s="1"/>
  <c r="H818" i="8" s="1"/>
  <c r="H841" i="8" s="1"/>
  <c r="I841" i="8"/>
  <c r="C841" i="8" l="1"/>
  <c r="F83" i="7" l="1"/>
  <c r="C82" i="7"/>
  <c r="B482" i="10" s="1"/>
  <c r="B82" i="7"/>
  <c r="A482" i="10" s="1"/>
  <c r="G83" i="7" l="1"/>
  <c r="G87" i="15"/>
  <c r="H87" i="15" s="1"/>
  <c r="D805" i="8"/>
  <c r="I804" i="8"/>
  <c r="H804" i="8"/>
  <c r="G804" i="8"/>
  <c r="F804" i="8"/>
  <c r="I803" i="8"/>
  <c r="H803" i="8"/>
  <c r="G803" i="8"/>
  <c r="F803" i="8"/>
  <c r="I802" i="8"/>
  <c r="H802" i="8"/>
  <c r="G802" i="8"/>
  <c r="F802" i="8"/>
  <c r="I801" i="8"/>
  <c r="H801" i="8"/>
  <c r="G801" i="8"/>
  <c r="F801" i="8"/>
  <c r="I800" i="8"/>
  <c r="H800" i="8"/>
  <c r="G800" i="8"/>
  <c r="F800" i="8"/>
  <c r="I799" i="8"/>
  <c r="H799" i="8"/>
  <c r="G799" i="8"/>
  <c r="F799" i="8"/>
  <c r="I798" i="8"/>
  <c r="H798" i="8"/>
  <c r="G798" i="8"/>
  <c r="F798" i="8"/>
  <c r="I797" i="8"/>
  <c r="H797" i="8"/>
  <c r="G797" i="8"/>
  <c r="F797" i="8"/>
  <c r="I796" i="8"/>
  <c r="H796" i="8"/>
  <c r="G796" i="8"/>
  <c r="F796" i="8"/>
  <c r="I795" i="8"/>
  <c r="H795" i="8"/>
  <c r="F795" i="8"/>
  <c r="G795" i="8"/>
  <c r="I794" i="8"/>
  <c r="H794" i="8"/>
  <c r="F794" i="8"/>
  <c r="G794" i="8"/>
  <c r="I793" i="8"/>
  <c r="H793" i="8"/>
  <c r="F793" i="8"/>
  <c r="G793" i="8"/>
  <c r="I792" i="8"/>
  <c r="H792" i="8"/>
  <c r="F792" i="8"/>
  <c r="G792" i="8"/>
  <c r="I791" i="8"/>
  <c r="H791" i="8"/>
  <c r="F791" i="8"/>
  <c r="G791" i="8"/>
  <c r="I790" i="8"/>
  <c r="H790" i="8"/>
  <c r="F790" i="8"/>
  <c r="G790" i="8"/>
  <c r="I787" i="8"/>
  <c r="G787" i="8"/>
  <c r="F787" i="8"/>
  <c r="I786" i="8"/>
  <c r="G786" i="8"/>
  <c r="F786" i="8"/>
  <c r="H786" i="8"/>
  <c r="I785" i="8"/>
  <c r="G785" i="8"/>
  <c r="F785" i="8"/>
  <c r="H785" i="8"/>
  <c r="I784" i="8"/>
  <c r="G784" i="8"/>
  <c r="F784" i="8"/>
  <c r="H784" i="8"/>
  <c r="I783" i="8"/>
  <c r="G783" i="8"/>
  <c r="F783" i="8"/>
  <c r="H783" i="8"/>
  <c r="D82" i="7" l="1"/>
  <c r="J482" i="10" s="1"/>
  <c r="I805" i="8"/>
  <c r="G805" i="8"/>
  <c r="F805" i="8"/>
  <c r="E787" i="8" l="1"/>
  <c r="H787" i="8" s="1"/>
  <c r="H805" i="8" s="1"/>
  <c r="C805" i="8" s="1"/>
  <c r="G76" i="7" l="1"/>
  <c r="F82" i="7"/>
  <c r="G133" i="8" l="1"/>
  <c r="G147" i="8" s="1"/>
  <c r="C147" i="8" s="1"/>
  <c r="F18" i="7" s="1"/>
  <c r="H4" i="14"/>
  <c r="G82" i="7"/>
  <c r="G86" i="15"/>
  <c r="H86" i="15" s="1"/>
  <c r="G18" i="7" l="1"/>
  <c r="G103" i="7" s="1"/>
  <c r="G104" i="7" s="1"/>
  <c r="G105" i="7" s="1"/>
  <c r="G22" i="15"/>
  <c r="H22" i="15" s="1"/>
  <c r="H105" i="15" s="1"/>
  <c r="H109" i="15" l="1"/>
  <c r="H110" i="15" s="1"/>
  <c r="H107" i="15"/>
  <c r="H112" i="15" l="1"/>
  <c r="H135" i="15" s="1"/>
  <c r="H136" i="15" s="1"/>
</calcChain>
</file>

<file path=xl/comments1.xml><?xml version="1.0" encoding="utf-8"?>
<comments xmlns="http://schemas.openxmlformats.org/spreadsheetml/2006/main">
  <authors>
    <author>Toshiba</author>
    <author>Usuario</author>
  </authors>
  <commentList>
    <comment ref="B192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Cuadrilla, rendimiento y precio  EPA, </t>
        </r>
      </text>
    </comment>
    <comment ref="B38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 incluyo es adicional para EPA</t>
        </r>
      </text>
    </comment>
    <comment ref="B39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 incluyo el refuerzo que aparece en el item AGUA XXI y en el capituo de cantidades se determino asi.
El precio corresponde a EPA, $ 3.752,6</t>
        </r>
      </text>
    </comment>
    <comment ref="E868" authorId="1" shapeId="0">
      <text>
        <r>
          <rPr>
            <b/>
            <sz val="9"/>
            <color indexed="81"/>
            <rFont val="Tahoma"/>
            <family val="2"/>
          </rPr>
          <t>(precio de rollo + iva 19%)/rollo de 30 metros</t>
        </r>
      </text>
    </comment>
    <comment ref="D882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Aprox. 4,8 m lineal de junta de 0,8 X 0,8 cm por cada cartucho, pero la junta del diseño tiene una dimensión de 0,25 X 0,125m, se obtiene una eficiencia n=4,8/(5 X 1) = 0,96m "El 5 corresponde a las veces que se contiene el volumen de consumo del fabricante en la junta del diseñador y el 1 es porque se aplica sellador a un solo lado de la junta, entonces 1/0,96=1,04.
La eficiencia es igual si se analiza cuando la unidad son los gr. 
cuando se tiene una junta de 0,8 X 0,8 cm.  El cartucho que tiene  380gr se consume en 4,8m (380/4,8=79,16 gr/m), pero la junta del diseño tiene una dimensión de 0,25 X 0,125m (consume 5 veces mas 5 X 79,16=395,8 gr/m), entonces eficiencia = 395,8/380 =1,04  </t>
        </r>
      </text>
    </comment>
    <comment ref="E886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1cm espesor $2.350
2cm espesor $4.400
3cm espesor $7.300
4cm espesor $9.300
Tamaño 1 X 1m</t>
        </r>
      </text>
    </comment>
  </commentList>
</comments>
</file>

<file path=xl/sharedStrings.xml><?xml version="1.0" encoding="utf-8"?>
<sst xmlns="http://schemas.openxmlformats.org/spreadsheetml/2006/main" count="4143" uniqueCount="947">
  <si>
    <t>UNID</t>
  </si>
  <si>
    <t>CANT</t>
  </si>
  <si>
    <t>PRECIO UNITARIO</t>
  </si>
  <si>
    <t>VALOR TOTAL</t>
  </si>
  <si>
    <t>m2</t>
  </si>
  <si>
    <t>m</t>
  </si>
  <si>
    <t>MOVIMIENTO DE TIERRA</t>
  </si>
  <si>
    <t>m3</t>
  </si>
  <si>
    <t>OBRAS EN CONCRETO</t>
  </si>
  <si>
    <t>OBRAS VARIAS</t>
  </si>
  <si>
    <t>TOTAL COSTO DIRECTO</t>
  </si>
  <si>
    <t>PRESUPUESTO TOTAL</t>
  </si>
  <si>
    <t>DESCRIPCIÓN :</t>
  </si>
  <si>
    <t>Unidad:</t>
  </si>
  <si>
    <t>Tipo</t>
  </si>
  <si>
    <t>Descripción</t>
  </si>
  <si>
    <t>Unidad</t>
  </si>
  <si>
    <t>Cantidad</t>
  </si>
  <si>
    <t>Valor Unitario</t>
  </si>
  <si>
    <t>Valor Total</t>
  </si>
  <si>
    <t>Mano de Obra</t>
  </si>
  <si>
    <t>Materiales</t>
  </si>
  <si>
    <t>Herramienta y Equipos</t>
  </si>
  <si>
    <t>Otros</t>
  </si>
  <si>
    <t>MO</t>
  </si>
  <si>
    <t>Día</t>
  </si>
  <si>
    <t>OT</t>
  </si>
  <si>
    <t>Acarreo horizontal</t>
  </si>
  <si>
    <t>% mo</t>
  </si>
  <si>
    <t>HE</t>
  </si>
  <si>
    <t>Herramienta menor (% mano obra)</t>
  </si>
  <si>
    <t>TOTAL COSTO DIRECTO $</t>
  </si>
  <si>
    <t>MA</t>
  </si>
  <si>
    <t>DESCRIPCIÓN</t>
  </si>
  <si>
    <t>Proyecto:</t>
  </si>
  <si>
    <t>ÍTEM :</t>
  </si>
  <si>
    <t>día</t>
  </si>
  <si>
    <t>ESPECIF.</t>
  </si>
  <si>
    <t>%MO</t>
  </si>
  <si>
    <t>ITEM :</t>
  </si>
  <si>
    <t>A.U</t>
  </si>
  <si>
    <t>ACPM</t>
  </si>
  <si>
    <t>ÍTEM N°</t>
  </si>
  <si>
    <t>Compresor</t>
  </si>
  <si>
    <t>Herramienta y eq menor</t>
  </si>
  <si>
    <t>Manguera aire</t>
  </si>
  <si>
    <t>Manguera agua</t>
  </si>
  <si>
    <t>Tubería aire</t>
  </si>
  <si>
    <t>gln</t>
  </si>
  <si>
    <t>Lanzador</t>
  </si>
  <si>
    <t>Encargado turno</t>
  </si>
  <si>
    <t>Ayudante concretos</t>
  </si>
  <si>
    <t>Operador bomba lanzado</t>
  </si>
  <si>
    <t>Ayudante exterior (2)</t>
  </si>
  <si>
    <t>Mecánico</t>
  </si>
  <si>
    <t>Electricista</t>
  </si>
  <si>
    <t>Ayudante mecánico</t>
  </si>
  <si>
    <t>Minidumper</t>
  </si>
  <si>
    <t>Ventiladores</t>
  </si>
  <si>
    <t>Ducto de ventilación</t>
  </si>
  <si>
    <t>Ayudante túnel</t>
  </si>
  <si>
    <t>Ayudante exterior</t>
  </si>
  <si>
    <t>ITE6398</t>
  </si>
  <si>
    <t>Planta eléctrica</t>
  </si>
  <si>
    <t>Formaleta</t>
  </si>
  <si>
    <t>Vibradores</t>
  </si>
  <si>
    <t>Cable eléctrico alta</t>
  </si>
  <si>
    <t>Cable eléctrico baja</t>
  </si>
  <si>
    <t>Lámparas de sodio de 70 w</t>
  </si>
  <si>
    <t>un</t>
  </si>
  <si>
    <t>Oficial concretos</t>
  </si>
  <si>
    <t>Operador equipo cargue</t>
  </si>
  <si>
    <t>ITE6391</t>
  </si>
  <si>
    <t>%M.O.</t>
  </si>
  <si>
    <t>Gasolina</t>
  </si>
  <si>
    <t>Lubricantes y aceites</t>
  </si>
  <si>
    <t>Ayudante perforación</t>
  </si>
  <si>
    <t>Soldador</t>
  </si>
  <si>
    <r>
      <t xml:space="preserve">ING. DIEGO LEON ALZATE OSPINA
</t>
    </r>
    <r>
      <rPr>
        <sz val="12"/>
        <rFont val="Arial Narrow"/>
        <family val="2"/>
      </rPr>
      <t>CONSULTOR</t>
    </r>
  </si>
  <si>
    <t>Concreto hidráulico premezclado F'c 28 Mpa, incluye bombeo</t>
  </si>
  <si>
    <t>ESTUDIOS Y DISEÑOS DEFINITIVOS, PRESUPUESTO Y ESPECIFICACIONES DE CONSTRUCCIÓN PARA EL REFORZAMIENTO ESTRUCTURAL DEL TÚNEL 19 DE LA CONDUCCIÓN DE AGUA CRUDA DE EMPRESAS PUBLICAS DE ARMENIA ESP</t>
  </si>
  <si>
    <r>
      <rPr>
        <b/>
        <u/>
        <sz val="12"/>
        <rFont val="Arial Narrow"/>
        <family val="2"/>
      </rPr>
      <t xml:space="preserve">PRESUPUESTO DE OBRA
</t>
    </r>
    <r>
      <rPr>
        <u/>
        <sz val="12"/>
        <rFont val="Arial Narrow"/>
        <family val="2"/>
      </rPr>
      <t>($ ABRIL DE 2018)</t>
    </r>
  </si>
  <si>
    <t>ITE6396</t>
  </si>
  <si>
    <t>Concretadora</t>
  </si>
  <si>
    <t>Bomba concreto</t>
  </si>
  <si>
    <t>Concreto lanzado incl aditivos</t>
  </si>
  <si>
    <t>Hr</t>
  </si>
  <si>
    <t>ITE5607</t>
  </si>
  <si>
    <t>Sacos de fibra</t>
  </si>
  <si>
    <t>Cemento</t>
  </si>
  <si>
    <t>Kg</t>
  </si>
  <si>
    <t>Cuadrilla M1 1 Sup Min + 5 Ay Min (jornal + prestaciones)</t>
  </si>
  <si>
    <t>Ventiladores y extractores de aire</t>
  </si>
  <si>
    <t>Iluminación</t>
  </si>
  <si>
    <t>ITE6346</t>
  </si>
  <si>
    <t>LLENO INTERIOR DEL TÚNEL UTILIZANDO SACOS DE SUELO CEMENTO AL 7%</t>
  </si>
  <si>
    <t>ITE5268</t>
  </si>
  <si>
    <t>Formaleta en madera modular</t>
  </si>
  <si>
    <t>Tabla para formaleta</t>
  </si>
  <si>
    <t>Cuartón de sajo</t>
  </si>
  <si>
    <t>Puntilla (promedio)</t>
  </si>
  <si>
    <t>Lb</t>
  </si>
  <si>
    <t>Gl</t>
  </si>
  <si>
    <t>Varillón de sajo</t>
  </si>
  <si>
    <t>ITE5805</t>
  </si>
  <si>
    <t>Concreto de f'c 21 MPa (3000 psi) (producción)</t>
  </si>
  <si>
    <t>Formaleta placa (básico)</t>
  </si>
  <si>
    <t>Vibrador eléctrico o a gasolina</t>
  </si>
  <si>
    <t>Alambre negro calibre 18 - 19</t>
  </si>
  <si>
    <t>ACERO DE REFUERZO</t>
  </si>
  <si>
    <t xml:space="preserve"> </t>
  </si>
  <si>
    <t>GL</t>
  </si>
  <si>
    <t>%</t>
  </si>
  <si>
    <t>Un</t>
  </si>
  <si>
    <t>Estacón lata de guadua</t>
  </si>
  <si>
    <t>Herramienta menor</t>
  </si>
  <si>
    <t>ITE7589</t>
  </si>
  <si>
    <t>Afirmado</t>
  </si>
  <si>
    <t>Rana sin operario</t>
  </si>
  <si>
    <t>Transporte material &lt; 40 Km (corte afirmado)</t>
  </si>
  <si>
    <t>m3-Km</t>
  </si>
  <si>
    <t>DESCRIPCIÓN:</t>
  </si>
  <si>
    <t>Triturado Limpio</t>
  </si>
  <si>
    <t>jornal</t>
  </si>
  <si>
    <t>Acarreo Horizontal</t>
  </si>
  <si>
    <t>Herramienta Menor</t>
  </si>
  <si>
    <t>Dia</t>
  </si>
  <si>
    <t>ITE6140</t>
  </si>
  <si>
    <t>SUMINISTRO E INSTALACIÓN DE TUBERÍA PEAD ALCANTARILLADO DN 900 mm (Ø36")</t>
  </si>
  <si>
    <t>Limpiador</t>
  </si>
  <si>
    <t>Gm</t>
  </si>
  <si>
    <t>Lubricante</t>
  </si>
  <si>
    <t>SUMINISTRO E INSTALACIÓN DE TUBERÍA PVC AR DN 150 mm (Ø6")</t>
  </si>
  <si>
    <t>Tubería PVC AR corrugada de 150 mm (Ø6")</t>
  </si>
  <si>
    <t>ITE5082</t>
  </si>
  <si>
    <t>Tubería PEAD PN 10 DN 160 mm</t>
  </si>
  <si>
    <t>Termofusión, incluye accesorios</t>
  </si>
  <si>
    <t>ITE5969</t>
  </si>
  <si>
    <t>VÁLVULA EB AC Ø 6" SELLO ELÁSTICO</t>
  </si>
  <si>
    <t>Suministro y transporte Válvula EB AC Ø 6" Sello Elástico</t>
  </si>
  <si>
    <t>Suministro juego de empaques y tornillería</t>
  </si>
  <si>
    <t>Mano de obra especializada incluye herramienta y equipos</t>
  </si>
  <si>
    <t>ITE6679</t>
  </si>
  <si>
    <t>PORTAFLANCHE + BRIDA LOCA DN 160 mm, PEAD PN 10</t>
  </si>
  <si>
    <t>Portaflanche DN 160 mm PN 10</t>
  </si>
  <si>
    <t>Brida loca DN 160 mm</t>
  </si>
  <si>
    <t>Tornillería y Empaques</t>
  </si>
  <si>
    <t>ITE7245</t>
  </si>
  <si>
    <t>Concreto de f'c 28 MPa (4000 psi) (producción)</t>
  </si>
  <si>
    <t>Servicio de bomba para concreto</t>
  </si>
  <si>
    <t xml:space="preserve">formaleta MDF  según diseño </t>
  </si>
  <si>
    <t>Cuartón de madera</t>
  </si>
  <si>
    <t>gl</t>
  </si>
  <si>
    <t/>
  </si>
  <si>
    <t>ITE5169</t>
  </si>
  <si>
    <t>kg</t>
  </si>
  <si>
    <t>ITE5214</t>
  </si>
  <si>
    <t>ITE5580</t>
  </si>
  <si>
    <t>ANCLAJE PASIVO EN BARRA DE 1", INCLUYE CENTRALIZADORES, EXCAVACIÓN Y RELLENO EN CONCRETO TIPO GROUTING (CEMENTO + ARENÓN  MEZCLA 1:3)</t>
  </si>
  <si>
    <t xml:space="preserve">Varilla corrugada de 1" </t>
  </si>
  <si>
    <t>Varilla corrugada de 3/8"</t>
  </si>
  <si>
    <t>Cemento + Arenón (mezcla 1:3)</t>
  </si>
  <si>
    <t>Perforación en roca para la colocación de anclajes</t>
  </si>
  <si>
    <t>Soldadura</t>
  </si>
  <si>
    <t>Mano de obra especializada</t>
  </si>
  <si>
    <t>ITE5238</t>
  </si>
  <si>
    <t>DRENES SUBHORIZONTALES PVC 3" PERFORADA PARA FILTRO INCLUYE PERFORACIÓN</t>
  </si>
  <si>
    <t>Tubería PVC de 75 mm (Ø3"), perforada, según diseño</t>
  </si>
  <si>
    <t>Tapón soldado PVC sanitario Ø 3"</t>
  </si>
  <si>
    <t xml:space="preserve">Equipo de perforación horizontal </t>
  </si>
  <si>
    <t>Geotextil no tejido 1.600 a = 3,50 m</t>
  </si>
  <si>
    <t>Transporte de maquinaria de perforación</t>
  </si>
  <si>
    <t>ITE5173</t>
  </si>
  <si>
    <t>Sikadur 32 o similar</t>
  </si>
  <si>
    <t>ITE6558</t>
  </si>
  <si>
    <t>MURO EN GAVIONES CON SACOS DE SUELO EN MALLA TRIPLE TORSIÓN C 13</t>
  </si>
  <si>
    <t>Malla de triple torsión C 13 ojo 10 x 8 cm</t>
  </si>
  <si>
    <t xml:space="preserve">Alambre galvanizado C 12 </t>
  </si>
  <si>
    <t>Alambre galvanizado Cal 12</t>
  </si>
  <si>
    <t>ITE5155</t>
  </si>
  <si>
    <t xml:space="preserve">Un </t>
  </si>
  <si>
    <t>Box en fibra de vidrio 1.45 x 1.45 m</t>
  </si>
  <si>
    <t>mano de obra para la instalacion y equipos</t>
  </si>
  <si>
    <t>ITE7729</t>
  </si>
  <si>
    <t>Sikatop 122 o similar</t>
  </si>
  <si>
    <t>COMPONENTE I: OBRAS PRELIMINARES Y CONDUCCIÓN DE DESVÍO</t>
  </si>
  <si>
    <t>PRELIMINARES</t>
  </si>
  <si>
    <t>SUMINISTRO E INSTALACIÓN DE TUBERÍAS Y ACCESORIOS</t>
  </si>
  <si>
    <t>OBRAS DE REFORZAMIENTO TÚNEL 19</t>
  </si>
  <si>
    <t>COMPONENTE II: OBRAS DE REFORZAMIENTO AL INTERIOR DEL TÚNEL 19</t>
  </si>
  <si>
    <t>OBRAS DEL PLAN DE COMPENSACIÓN FORESTAL</t>
  </si>
  <si>
    <t>Tubería PVC sanitaria perforada φ2" - L=2 m</t>
  </si>
  <si>
    <t>ITE7730</t>
  </si>
  <si>
    <t>Cable eléctrico baja, incluye sistema de conexiones de equipos e iluminación</t>
  </si>
  <si>
    <t>Inspector de excavaciones en túnel</t>
  </si>
  <si>
    <t>CONCRETO LANZADO PARA TÚNELES, INCLUYE MALLA ELECTROSOLDADA, LLORADEROS Y ANCLAJES PARA MALLA</t>
  </si>
  <si>
    <t xml:space="preserve">Malla electrosoldada 15 x 15 cm Ø 6 mm </t>
  </si>
  <si>
    <t>Anclaje en varilla de 1/2" - L=40 cm @40 cm tres bolillos</t>
  </si>
  <si>
    <t>ITE7731</t>
  </si>
  <si>
    <t>Transporte a instalaciones de la EPA</t>
  </si>
  <si>
    <t>Viaje</t>
  </si>
  <si>
    <t>COMPONENTE III: OBRAS DE RECUPERACIÓN DE LA TUBERÍA DE DESVÍO</t>
  </si>
  <si>
    <t>ITE5160</t>
  </si>
  <si>
    <t>CAMPAMENTO</t>
  </si>
  <si>
    <r>
      <t>m</t>
    </r>
    <r>
      <rPr>
        <b/>
        <vertAlign val="superscript"/>
        <sz val="12"/>
        <rFont val="Arial Narrow"/>
        <family val="2"/>
      </rPr>
      <t>2</t>
    </r>
  </si>
  <si>
    <t>und</t>
  </si>
  <si>
    <t>Cuadrilla 0:1:2</t>
  </si>
  <si>
    <t>Desperdicio</t>
  </si>
  <si>
    <t xml:space="preserve">% </t>
  </si>
  <si>
    <t>EPA0013</t>
  </si>
  <si>
    <t>dia</t>
  </si>
  <si>
    <t>Cuadrilla topográfica (1 Top-1Cad1-2Cad…)</t>
  </si>
  <si>
    <t>Equipo de topografía</t>
  </si>
  <si>
    <t>Puntilla de 2” * 500 gr</t>
  </si>
  <si>
    <t>EPA0015</t>
  </si>
  <si>
    <t>EPA024</t>
  </si>
  <si>
    <r>
      <t>m</t>
    </r>
    <r>
      <rPr>
        <b/>
        <vertAlign val="superscript"/>
        <sz val="12"/>
        <rFont val="Arial Narrow"/>
        <family val="2"/>
      </rPr>
      <t>3</t>
    </r>
  </si>
  <si>
    <t>hr</t>
  </si>
  <si>
    <t>Cuadrilla 0:0:3</t>
  </si>
  <si>
    <t>EPA0044</t>
  </si>
  <si>
    <t>EXCAVACIÓN CONGLOMERADO &lt; 2 m</t>
  </si>
  <si>
    <t>Cuadrilla 0:0:4</t>
  </si>
  <si>
    <t>EPA0118</t>
  </si>
  <si>
    <t>Cuadrilla 0:0:2</t>
  </si>
  <si>
    <t>EPA0116</t>
  </si>
  <si>
    <t>Vibrocompactador tipo rana</t>
  </si>
  <si>
    <t>EPA0021</t>
  </si>
  <si>
    <t>Cuadrilla 0:0:1</t>
  </si>
  <si>
    <t>Disposición de escombros</t>
  </si>
  <si>
    <t>Transporte de material sobrante</t>
  </si>
  <si>
    <t>EPA0120</t>
  </si>
  <si>
    <t>Balasto</t>
  </si>
  <si>
    <t>EPA0079</t>
  </si>
  <si>
    <t>Cuadrilla 0:1:1</t>
  </si>
  <si>
    <t>Limpiador removedor 760 gr</t>
  </si>
  <si>
    <t>Und</t>
  </si>
  <si>
    <t>Soldadura PVC ¼ Gl</t>
  </si>
  <si>
    <t>EPA0240</t>
  </si>
  <si>
    <t>Concreto simple de f'c 21 MPa (3000 psi) (producción)</t>
  </si>
  <si>
    <t>EPA0237</t>
  </si>
  <si>
    <t>Cuerpo formaleta metálica D: 1,50 m, H: 1m</t>
  </si>
  <si>
    <t>CUERPO PARA CÁMARA DE INSPECCIÓN D = 1,50 m, EN CONCRETO DE f'c 21 MPa (3000 psi), INCLUYE ESTRIBOS</t>
  </si>
  <si>
    <t>Estribos Ø 3/4" para accesos a cámara</t>
  </si>
  <si>
    <t xml:space="preserve">Guadua </t>
  </si>
  <si>
    <t>Puntilla de L: 2", 500 gr</t>
  </si>
  <si>
    <t>Separol * 15KL</t>
  </si>
  <si>
    <t xml:space="preserve">Antisol blanco 20KL </t>
  </si>
  <si>
    <t>Tablas de revoltura 3m (24cm X 25mm)</t>
  </si>
  <si>
    <t>Tapa en polipropileno</t>
  </si>
  <si>
    <t>Trabillas revoltura 4cm * 3m</t>
  </si>
  <si>
    <t>Acero Fy = 60.000 psi, figurado</t>
  </si>
  <si>
    <t>EPA0299</t>
  </si>
  <si>
    <t>Acero de refuerzo figurado</t>
  </si>
  <si>
    <t>Concreto simple 21 MPa (3000 psi)</t>
  </si>
  <si>
    <t>Puntilla de 2 500 gr</t>
  </si>
  <si>
    <t>Tablas de revoltura *3 m (24cm x 25mm grueso)</t>
  </si>
  <si>
    <t>Tapa caja de inspección 0.6 m x 0.6 m en concreto con marco metálico</t>
  </si>
  <si>
    <t>Trabillas revoltura 4cm *3 m</t>
  </si>
  <si>
    <t>m³</t>
  </si>
  <si>
    <t>Acero Fy= 420 MPa (60.000 psi)</t>
  </si>
  <si>
    <t>Acero de refuerzo Fy = 60.000 psi</t>
  </si>
  <si>
    <t>Marco segueta fijo tipo Stanley</t>
  </si>
  <si>
    <t>Segueta tipo Nicholson</t>
  </si>
  <si>
    <t>EPA0310</t>
  </si>
  <si>
    <t>TRINCHOS EN GUADUA H=1m, INCLUYE EXCAVACIÓN</t>
  </si>
  <si>
    <t xml:space="preserve">Acarreo Horizontal </t>
  </si>
  <si>
    <t xml:space="preserve">Cepa 4m </t>
  </si>
  <si>
    <t>EPA0209</t>
  </si>
  <si>
    <t>Listón de revoltura 3m</t>
  </si>
  <si>
    <t>Puntilla de 1½`` * 500 gr</t>
  </si>
  <si>
    <t>Vibrador eléctrico normal 110V</t>
  </si>
  <si>
    <t>MEDICION PROVISIONAL</t>
  </si>
  <si>
    <t>Acometida medidor</t>
  </si>
  <si>
    <t xml:space="preserve">m </t>
  </si>
  <si>
    <t xml:space="preserve">Medidor (Sum+Instal) </t>
  </si>
  <si>
    <t xml:space="preserve">Puesta a Tierra Medidor               </t>
  </si>
  <si>
    <t>RED DE BAJA TENSION</t>
  </si>
  <si>
    <t>Red de baja tensión trensada, cable cuádruplex autosoportado 3x4/0, herrajes, accesorios, tendido</t>
  </si>
  <si>
    <t>Cajas de derivación red trensada</t>
  </si>
  <si>
    <t xml:space="preserve">Poste concretoAP10 m510 Kg+Base Conc     </t>
  </si>
  <si>
    <t>Retenida de baja tensión</t>
  </si>
  <si>
    <t>TABLEROS DE DISTRIBUCION</t>
  </si>
  <si>
    <t>Tablero .24 circ l/nex con espac. totaliz(sum+inst)</t>
  </si>
  <si>
    <t>UN</t>
  </si>
  <si>
    <t xml:space="preserve">Breaker 15/20 Amp. - 10 KA (Sum+Inst.)           </t>
  </si>
  <si>
    <t xml:space="preserve">Sistema de puesta a tierra varilla 5/8" X 2,4 m        </t>
  </si>
  <si>
    <t>RECUPERACIÓN DE TUBERÍA PEAD ALCANTARILLADO DN 900 mm (Φ36"), INCLUYE TRASLADO A INSTALACIONES EPA, (DEBE INCLUIR ACOMPAÑAMIENTO DEL PROVEEDOR DE LA TUBERIA)</t>
  </si>
  <si>
    <t>ITE6893</t>
  </si>
  <si>
    <t>TRASIEGO DE MATERIAL CON USO DE TARABITA</t>
  </si>
  <si>
    <t>Ton</t>
  </si>
  <si>
    <t xml:space="preserve">Valor integral de la tarabita </t>
  </si>
  <si>
    <t xml:space="preserve">Suministro o alquiler de tarabita </t>
  </si>
  <si>
    <t xml:space="preserve">Montaje y desmontaje de tarabita </t>
  </si>
  <si>
    <t xml:space="preserve">Plataformas en madera </t>
  </si>
  <si>
    <t>DIA</t>
  </si>
  <si>
    <t xml:space="preserve">Mantenimiento tarabita </t>
  </si>
  <si>
    <t xml:space="preserve">Gasolina o energia  tarabita </t>
  </si>
  <si>
    <t>VALOR TARABITA $</t>
  </si>
  <si>
    <t>Densidad (t/m3)</t>
  </si>
  <si>
    <t>TOTAL (Ton)</t>
  </si>
  <si>
    <t>Concreto</t>
  </si>
  <si>
    <t>Material granular</t>
  </si>
  <si>
    <t>Retiro de material sobrante</t>
  </si>
  <si>
    <t>VALOR CON USO DE TARABITA / [Ton]</t>
  </si>
  <si>
    <t>Trasiego de materiales con uso de tarabita</t>
  </si>
  <si>
    <t>LOCALIZACIÓN Y REPLANTEO DE CONDUCCIONES</t>
  </si>
  <si>
    <t>LOCALIZACIÓN Y REPLANTEO PARA ESTRUCTURAS</t>
  </si>
  <si>
    <t>DESCUMBRE, LIMPIEZA, ROCERÍA Y EVACUACIÓN DE BASURAS</t>
  </si>
  <si>
    <t>Hora/Cuadrilla</t>
  </si>
  <si>
    <t>Estopas</t>
  </si>
  <si>
    <t>Selección de basuras ó rastrojo</t>
  </si>
  <si>
    <t>Acarreo manual</t>
  </si>
  <si>
    <t>ITE7738</t>
  </si>
  <si>
    <t>VAR21</t>
  </si>
  <si>
    <t>EPA0119</t>
  </si>
  <si>
    <t>Afirmado de cantera</t>
  </si>
  <si>
    <t>Vibrompactador tipo rana</t>
  </si>
  <si>
    <t>ITE528</t>
  </si>
  <si>
    <t>JUNTA DE CONTRACCIÓN Y CONSTRUCCIÓN CON CINTA PVC V - 15</t>
  </si>
  <si>
    <t>Cinta PVC V - 15</t>
  </si>
  <si>
    <t xml:space="preserve">Madera 1,5 X 1,5 cm </t>
  </si>
  <si>
    <t>ITE5050</t>
  </si>
  <si>
    <t>JUNTA DE EXPANSIÓN CON CINTA PVC O-22, INCLUYE SELLADOR.</t>
  </si>
  <si>
    <t>Cinta PVC O - 22</t>
  </si>
  <si>
    <t>Sellador y adhesivo elástico</t>
  </si>
  <si>
    <t>gr</t>
  </si>
  <si>
    <t xml:space="preserve">Herramienta menor </t>
  </si>
  <si>
    <t>Icopor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</si>
  <si>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</si>
  <si>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</si>
  <si>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</si>
  <si>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</si>
  <si>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</si>
  <si>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</si>
  <si>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</si>
  <si>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</si>
  <si>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</si>
  <si>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</si>
  <si>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</si>
  <si>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</si>
  <si>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</si>
  <si>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</si>
  <si>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</si>
  <si>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</si>
  <si>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</si>
  <si>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</si>
  <si>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</si>
  <si>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</si>
  <si>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</si>
  <si>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</si>
  <si>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</si>
  <si>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</si>
  <si>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</si>
  <si>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</si>
  <si>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</si>
  <si>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1.5.1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</si>
  <si>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</si>
  <si>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</si>
  <si>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</si>
  <si>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</si>
  <si>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</si>
  <si>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</si>
  <si>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</si>
  <si>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</si>
  <si>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</si>
  <si>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</si>
  <si>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</si>
  <si>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</si>
  <si>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</si>
  <si>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</si>
  <si>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</si>
  <si>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</si>
  <si>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</si>
  <si>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</si>
  <si>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</si>
  <si>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</si>
  <si>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</si>
  <si>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</si>
  <si>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</si>
  <si>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</si>
  <si>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</si>
  <si>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</si>
  <si>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3.1.4</t>
  </si>
  <si>
    <t>CAMA PARA CIMENTACIÓN DE TUBERIA CON GRAVA TRITURADA ØMÁX 1" , INCLUYE TRASIEGO DE MATERIAL CON USO DE TARABITA</t>
  </si>
  <si>
    <t>CARGUE Y RETIRO MATERIAL SOBRANTE MAS ESCOMBROS, INCLUYE TRANSPORTE Y DISPOSICION DE ESCOMBROS, INCLUYE TRASIEGO DE MATERIAL CON USO DE TARABITA</t>
  </si>
  <si>
    <t>CONCRETO PARA CUERPO DE PANTALLA ANCLADA , f'c 28 MPa (4000 psi), INCLUYE TRASIEGO DE MATERIAL CON USO DE TARABITA</t>
  </si>
  <si>
    <t>BASE Y CAÑUELA PARA CÁMARA DE INSPECCIÓN D = 1,50 m EN CONCRETO DE f'c 21 MPa (3000 psi), INCLUYE TRASIEGO DE MATERIAL CON USO DE TARABITA</t>
  </si>
  <si>
    <t>LOSA SUPERIOR PARA CÁMARA DE INSPECCIÓN D=1,50 m INCLUYE REFUERZO, INCLUYE TAPA EN POLIPROPILENO, INCLUYE TRASIEGO DE MATERIAL CON USO DE TARABITA</t>
  </si>
  <si>
    <t>CAJA DE 0.60 x 0.60 x 0.90 m, e=0.15, EN CONCRETO f'c 21 MPa (3000 psi), TAPA REFORZADA EN CONCRETO f'c 21 MPa (3000 psi), INCLUYE REFUERZO, INCLUYE TRASIEGO DE MATERIAL CON USO DE TARABITA</t>
  </si>
  <si>
    <t>PLACA SUPERIOR Y DE FONDO EN CONCRETO PARA CÁMARA ESPECIAL DE f'c 21 MPa (3000 psi), e = 0,15 m, INCLUYE REFUERZO, INCLUYE TRASIEGO DE MATERIAL CON USO DE TARABITA</t>
  </si>
  <si>
    <t>MUROS EN CONCRETO IMPERMEABILIZADO DE f'c 21 MPa (3000 psi) e= 0,25 m, PARA CAMARAS ESPECIALES, INCLUYE TRASIEGO DE MATERIAL CON USO DE TARABITA</t>
  </si>
  <si>
    <t>PLACA SUPERIOR EN CONCRETO DE f'c 24 MPa (3500 psi), e = 0,25 m, PARA CAMARAS ESPECIALES, INCLUYE TAPA EN POLIPROPILENO, INCLUYE TRASIEGO DE MATERIAL CON USO DE TARABITA</t>
  </si>
  <si>
    <t>EMPALMES DE BOX EN FIBRA DE VIDRIO A TÚNEL 19, CON SIKATOP 122 O SIMILAR, e = 5cm</t>
  </si>
  <si>
    <t>CABEZALES DE DESCARGA PARA TUBERÍAS CON DIÁMETROS Ø:6" A Ø:8", INCLUYE REFUERZO, INCLUYE TRASIEGO DE MATERIAL CON USO DE TARABITA</t>
  </si>
  <si>
    <t>LLENO COMPACTADO CON MATERIAL GRANULAR, INCLUYE TRASIEGO DE MATERIAL CON USO DE TARABITA</t>
  </si>
  <si>
    <t>CONCRETO PARA SOLADO Y RENIVELACION DE RASANTE, EN CONCRETO DE f'c 21 MPa (3.000 PSI), espesor prom=0.05 m, INCLUYE TRASIEGO DE MATERIAL CON USO DE TARABITA</t>
  </si>
  <si>
    <t>ITE6709</t>
  </si>
  <si>
    <t>Acero de Fy = 37.000 psi</t>
  </si>
  <si>
    <t>Acero de Fy = 60.000 psi</t>
  </si>
  <si>
    <t>Tabla para formaleta de 1" x 10" x 2,9 m</t>
  </si>
  <si>
    <t>M</t>
  </si>
  <si>
    <t>Tubería galvanizada para cerramiento de 1 1/2" x 6 m</t>
  </si>
  <si>
    <t>Chapa fina tipo Schlage, Yale o similar para portón</t>
  </si>
  <si>
    <t>Pasador metálico de 3"</t>
  </si>
  <si>
    <t>Bisagra de hierro 3"</t>
  </si>
  <si>
    <t>Malla eslabonada 2" x 2" C 13</t>
  </si>
  <si>
    <t>Ángulo de 1" x 1/8"</t>
  </si>
  <si>
    <t>Soldadura para hierro estructural</t>
  </si>
  <si>
    <t>Excavación en tierra seca de 0 - 2 m, incluye cinta de señalización</t>
  </si>
  <si>
    <t>2.4.5</t>
  </si>
  <si>
    <t>PUERTA EN TUBERÍA GALVANIZADA DE 1 ½" PARA CERRAMIENTO DE ACCESOS LATERALES, INCLUYE ENTRE OTROS EXCAVACIÓN, COLUMNAS DE 3.000 psi, REFUERZO, CHAPA, PASADOR</t>
  </si>
  <si>
    <t>2.4.6</t>
  </si>
  <si>
    <t>ITE7740</t>
  </si>
  <si>
    <t>Jr</t>
  </si>
  <si>
    <t>Paleta PARE - SIGA en polietileno y texto reflectivo, de 40cm</t>
  </si>
  <si>
    <t>Señalizador vial tubular</t>
  </si>
  <si>
    <t>Cinta preventiva</t>
  </si>
  <si>
    <t>Señales preventivas</t>
  </si>
  <si>
    <t>DESCUMBRE, LIMPIEZA, ROCERÍA Y EVACUACIÓN DE BASURAS, PARA PATIOS DE MANIOBRA</t>
  </si>
  <si>
    <t>PLANO RECORD DE OBRA Y FORMATOS DE LOCALIZACION DE VENTANAS, LIGADOS AL SISTEMA SIG EMPLEADO POR LA EMPRESA</t>
  </si>
  <si>
    <t>PLAN DE MANEJO DE TRANSITO PARA EL ACCESO DE MATERIALES PARA EL PROYECTO DE REFORZAMIENTO ESTRUCTURAL DEL TUNEL N°19</t>
  </si>
  <si>
    <t>ITE7741</t>
  </si>
  <si>
    <t>ITE7745</t>
  </si>
  <si>
    <t>CONCRETO DE 28 MPa PARA PISO DE TÚNELES e=0.30 m, INCLUYE TRASIEGO DE MATERIAL CON USO DE TARABITA</t>
  </si>
  <si>
    <t>CONSTRUCCIÓN DE SENDERO PARA LA ENTRADA DE PERSONAL Y EQUIPOS MENORES, CON AFIRMADO e= 0.1 m Y ANCHO= 1.0 m</t>
  </si>
  <si>
    <t>ADECUACIÓN DE FRANJA DE MOVILIDAD DE PERSONAL Y EQUIPOS SOBRE LA CONDUCCIÓN DE DESVÍO Y DE PATIOS DE MANIOBRA EN EL SECTOR INFERIOR, ANCHO= 2.0 m Y PISO EN AFIRMADO EN GRAVA e=0,10m, INCLUYE TRASIEGO DE MATERIAL CON USO DE TARABITA</t>
  </si>
  <si>
    <t>ADECUACIÓN DE VIA DE ACCESO Y PATIO DE MANEJO DE MATERIALES, CON AFIRMADO e= 0.10 m.</t>
  </si>
  <si>
    <t>DEMOLICIÓN CONCRETO REFORZADO</t>
  </si>
  <si>
    <t>EPA0045</t>
  </si>
  <si>
    <t>EXCAVACIÓN CONGLOMERADO  2 - 4 m</t>
  </si>
  <si>
    <t>Cuadrilla 0:1:4</t>
  </si>
  <si>
    <t>1.2.6</t>
  </si>
  <si>
    <t>Varilla corrugada de Ø 5/8"</t>
  </si>
  <si>
    <t>ITE7742</t>
  </si>
  <si>
    <t xml:space="preserve">Suministro e instalación de compuerta en plástico polipropileno 100%, tipo guillotina incluye guías laterales y de fondo en plástico polipropileno 100% </t>
  </si>
  <si>
    <t>Vástago Ø 2½" en acero inoxidable, Longitud: 2m</t>
  </si>
  <si>
    <t>Soporte guía vástago</t>
  </si>
  <si>
    <t>Rueda de manejo o volante 10"</t>
  </si>
  <si>
    <t>Columna de maniobra</t>
  </si>
  <si>
    <t>Cuadrilla Especializada</t>
  </si>
  <si>
    <t>ITE7743</t>
  </si>
  <si>
    <t>Anclaje con varilla guía de e:3/4", incluye material Sikadur 42</t>
  </si>
  <si>
    <t>Sikatop 122 plus monocomponente</t>
  </si>
  <si>
    <t>SISTEMA DE ACOMETIDA PRINCIPAL Y DISTRIBUCIÓN BÁSICA DE ENERGÍA, INCLUYE TABLEROS DE DISTRIBUCIÓN Y CONTROL.</t>
  </si>
  <si>
    <t>1.2.1.1</t>
  </si>
  <si>
    <t>1.2.2.1</t>
  </si>
  <si>
    <t>1.2.1.2</t>
  </si>
  <si>
    <t>EXCAVACIONES EN ZANJA PARA LA CONDUCCION DE DESVIO</t>
  </si>
  <si>
    <t>EXCAVACIÓN CONGLOMERADO &lt; 2 m, ZANJA PARA LA CONDUCCION</t>
  </si>
  <si>
    <t>EXCAVACIÓN CONGLOMERADO  2 - 4 m ZANJA PARA LA CONDUCCION</t>
  </si>
  <si>
    <t>EXCAVACIÓN CONGLOMERADO &lt; 2 m, CONSTRUCCION DE CAMARAS</t>
  </si>
  <si>
    <t>EXCAVACIONES PARA ADECUACION DE PATIOS DE MANIOBRA</t>
  </si>
  <si>
    <t>1.2.3.1</t>
  </si>
  <si>
    <t>EPA0041</t>
  </si>
  <si>
    <t>EXCAVACIÓN MANUAL &lt; 2 m, MATERIAL COMUN</t>
  </si>
  <si>
    <t>EXCAVACIÓN EN MATERIAL COMUN, ADECUACION PATIO DE MANEJO DE MATERIALES</t>
  </si>
  <si>
    <t>EXCAVACIÓN EN MATERIAL COMUN, PATIO DE MANIOBRAS N°1</t>
  </si>
  <si>
    <t>EXCAVACIÓN EN MATERIAL COMUN, PATIO DE MANIOBRAS N°2</t>
  </si>
  <si>
    <t>EXCAVACIÓN EN MATERIAL COMUN, PATIO DE MANIOBRAS N°3</t>
  </si>
  <si>
    <t>EXCAVACIÓN EN MATERIAL COMUN, PATIO DE MANIOBRAS N°4</t>
  </si>
  <si>
    <t>1.2.1.3</t>
  </si>
  <si>
    <t>1.2.1.4</t>
  </si>
  <si>
    <t>1.2.1.5</t>
  </si>
  <si>
    <t>1.2.4.1</t>
  </si>
  <si>
    <t>EXCAVACIÓN CONGLOMERADO &lt; 2 m, CONSTRUCCION DE GAVIONES</t>
  </si>
  <si>
    <t>EXCAVACIONES PARA CONSTRUCCION DE GAVIONES</t>
  </si>
  <si>
    <t>EXCAVACIÓN EN MATERIAL COMUN, CONSTRUCCION DE TRINCHOS</t>
  </si>
  <si>
    <t>1.2.5.1</t>
  </si>
  <si>
    <t>1.2.6.1</t>
  </si>
  <si>
    <t>EXCAVACIONES PARA CONSTRUCCION DE PANTALLA ANCLADA</t>
  </si>
  <si>
    <t>EXCAVACIONES PARA CONSTRUCCIÓN DE CÁMARAS</t>
  </si>
  <si>
    <t>EXCAVACIONES PARA CONSTRUCCIÓN DE TRINCHOS</t>
  </si>
  <si>
    <t>LLENO COMPACTADO CON MATERIAL DEL SITIO</t>
  </si>
  <si>
    <t>LLENO CON MATERIAL DE RIO, PARA ADECUACION DE PATIO DE MANEJO DE MATERIALES, ESPESOR 10cm.</t>
  </si>
  <si>
    <t>EPA0120B</t>
  </si>
  <si>
    <t>LLENO CON MATERIAL DE RIO, PARA ADECUACION DE PATIOS DE MANIOBRA, ESPESOR 10cm. INCLUYE TRASIEGO DE MATERIAL CON USO DE TARABITA</t>
  </si>
  <si>
    <t xml:space="preserve">SUMINISTRO E INSTALACIÓN DE TUBERÍA PEAD DN 160 mm PN 10 </t>
  </si>
  <si>
    <t>1.5.2</t>
  </si>
  <si>
    <t>SUMINISTRO E INSTALACIÓN DE BOX EN FIBRA DE VIDRIO PARA EL EMPALME ENTRE CONDUCCIÓN EXISTENTE Y CONDUCCIÓN PROVISIONAL SECCIÓN 1.0 x 1.5 m, SEGÚN DISEÑO</t>
  </si>
  <si>
    <t>SUMINISTRO E INSTALACIÓN DE COMPUERTA EN PLÁSTICO POLIPROPILENO 100% TIPO GUILLOTINA, INCLUYE RIELES LATERALES EN PLÁSTICO POLIPROPILENO 100%, CIERRE TIPO CONO, CON ÁREA EFECTIVA 1m X 1m, SEGÚN DISEÑO, INCLUYE VÁSTAGO Y TORRE DE MANIOBRA</t>
  </si>
  <si>
    <t>SUMINISTRO E INSTALACIÓN DE PANTALLA EN LÁMINA DE ACERO 2.10m X 1.15m, ESPESOR:3/16", REFORZADA CON ÁNGULOS EN ACERO DE 2" X 2" X ¼", INCLUYE ANCLAJES GUÍAS, SEGÚN DISEÑO</t>
  </si>
  <si>
    <t>Suministro de pantalla en lámina de acero 2.10 X 1.15m, espesor:3/16", reforzada con ángulos en acero de 2" X 2" X ¼".</t>
  </si>
  <si>
    <t>EPA0008</t>
  </si>
  <si>
    <t>MUROS Y BÓVEDA EN CONCRETO IMPERMEABILIZADO DE f'c 28 MPa, e= 0,30 m, INCLUYE TRASIEGO DE MATERIAL CON USO DE TARABITA</t>
  </si>
  <si>
    <t>1.6.11</t>
  </si>
  <si>
    <t>ITE5129</t>
  </si>
  <si>
    <t>PLÁSTICO PARA PROTECCIÓN DE MATERIAL EXCAVADO</t>
  </si>
  <si>
    <t>Estaca de madera</t>
  </si>
  <si>
    <t>EPA0205</t>
  </si>
  <si>
    <t>Estacon lata de guadua</t>
  </si>
  <si>
    <t>Puntilla de 500 gr</t>
  </si>
  <si>
    <t>ITE7746</t>
  </si>
  <si>
    <t>MANEJO DE AGUAS, PARA LAS OBRAS AL INTERIOR DEL TUNEL</t>
  </si>
  <si>
    <t>Arena gruesa</t>
  </si>
  <si>
    <t>Motobomba sumergible 3" con manguera (2 Unidades)</t>
  </si>
  <si>
    <t>Mes</t>
  </si>
  <si>
    <t>TOTAL</t>
  </si>
  <si>
    <t>REVEGETALIZACIÓN Y RECUPERACIÓN AMBIENTAL DE LA ZONA FALLADA CON ESTRELLA AFRICANA</t>
  </si>
  <si>
    <t>Obtención plantulas de balso (Ochromalagopus)</t>
  </si>
  <si>
    <t>Obtención plantulas de cordoncillo (Piper aduncum)</t>
  </si>
  <si>
    <t>Obtención plantulas de Laurel (Laurus nobilis)</t>
  </si>
  <si>
    <t>Transporte</t>
  </si>
  <si>
    <t>Siembra</t>
  </si>
  <si>
    <t>Abono con triple 15</t>
  </si>
  <si>
    <t>Bulto</t>
  </si>
  <si>
    <t>Roceria y limpieza</t>
  </si>
  <si>
    <t>EXCAVACIÓN SUBTERRÁNEA PARA LA CONFORMACIÓN DE LA SECCIÓN DEL TÚNEL, EN CUALQUIER TIPO DE MATERIAL ( INCLUYE DESALOJO DE MATERIAL)</t>
  </si>
  <si>
    <t>Taladro rotopercutor con 1 broca</t>
  </si>
  <si>
    <t>Compresor 2 martillos rotopercutores con operador</t>
  </si>
  <si>
    <t>Planta eléctrica de 6000WT</t>
  </si>
  <si>
    <t>Minidumper con operador</t>
  </si>
  <si>
    <t>Ventiladores tipo industrial</t>
  </si>
  <si>
    <t>Motobomba de achique (2 unidades)</t>
  </si>
  <si>
    <t>Andamio multidireccional certificado (metro altura)</t>
  </si>
  <si>
    <t>TRASIEGO Y DISPOSICIÓN DEL MATERIAL SOBRANTE DE LA EXCAVACIÓN DEL TÚNEL</t>
  </si>
  <si>
    <t>Salario minimo mensial vigente</t>
  </si>
  <si>
    <t>Auxilio de Transporte</t>
  </si>
  <si>
    <t>Concepto</t>
  </si>
  <si>
    <t>Vigencia 2018</t>
  </si>
  <si>
    <t>Base/Unidad</t>
  </si>
  <si>
    <t>Ayudante</t>
  </si>
  <si>
    <t>Oficial</t>
  </si>
  <si>
    <t>Técnico Especializado</t>
  </si>
  <si>
    <t>Ayudante especializado</t>
  </si>
  <si>
    <t>Técnico sin expereiencia</t>
  </si>
  <si>
    <t>Técnico con expereiencia, &gt; 2 años</t>
  </si>
  <si>
    <t>Tecnólogo sin expereiencia</t>
  </si>
  <si>
    <t>Tecnólogo con expereiencia, &gt; 2 años</t>
  </si>
  <si>
    <t>Profesional sin expereiencia</t>
  </si>
  <si>
    <t>Profesional con expereiencia, &gt; 2 años</t>
  </si>
  <si>
    <t>Profesional con especialización sin expereiencia</t>
  </si>
  <si>
    <t>Profesional con especialización y expereiencia, &gt; 2 años</t>
  </si>
  <si>
    <t>Profesional con maestría sin expereiencia</t>
  </si>
  <si>
    <t>Profesional con maestría y expereiencia, &gt; 2 años</t>
  </si>
  <si>
    <t>Asignación Base de Cálculo Mensual</t>
  </si>
  <si>
    <t>($)</t>
  </si>
  <si>
    <t>Aportes Pensión Patronal</t>
  </si>
  <si>
    <t>Aportes salud</t>
  </si>
  <si>
    <t>Aportes ARP Patronal</t>
  </si>
  <si>
    <t>Aportes Confamiliar</t>
  </si>
  <si>
    <t>Vacaciones Disfrutadas</t>
  </si>
  <si>
    <t>Prima de Servicios</t>
  </si>
  <si>
    <t>Cesantías</t>
  </si>
  <si>
    <t>Intereses Sobre Cesantías</t>
  </si>
  <si>
    <t>Dotación</t>
  </si>
  <si>
    <t>Costos Asociados a Un (1) Mes/salario</t>
  </si>
  <si>
    <t>icbf</t>
  </si>
  <si>
    <t>sena</t>
  </si>
  <si>
    <t>FIC</t>
  </si>
  <si>
    <t>Costos Asociados a Un (1) Mes/Aux de transp</t>
  </si>
  <si>
    <t>Total Costos Asociados a Un (1) Mes</t>
  </si>
  <si>
    <t>Total Costos Asociados a Un (1) Día</t>
  </si>
  <si>
    <t>Ajuste por tiempo efectivo de trabajo (22,5 dias/mes)</t>
  </si>
  <si>
    <t>ELEMENTO</t>
  </si>
  <si>
    <t>ÁREA (m2)</t>
  </si>
  <si>
    <t>e (m)</t>
  </si>
  <si>
    <t>Vol (m3)</t>
  </si>
  <si>
    <t>PERIMETRO
(m)</t>
  </si>
  <si>
    <t>ALTO
(m)</t>
  </si>
  <si>
    <t>CANTIDAD</t>
  </si>
  <si>
    <t>ANCHO (m)</t>
  </si>
  <si>
    <t>LARGO (m)</t>
  </si>
  <si>
    <t>LONGITUD</t>
  </si>
  <si>
    <r>
      <t xml:space="preserve">PRESUPUESTO DE OBRA
</t>
    </r>
    <r>
      <rPr>
        <u/>
        <sz val="12"/>
        <rFont val="Arial Narrow"/>
        <family val="2"/>
      </rPr>
      <t>($ ABRIL DE 2018)</t>
    </r>
  </si>
  <si>
    <t>LONGITUD (m)</t>
  </si>
  <si>
    <t>TUBERIA DE DESVIO</t>
  </si>
  <si>
    <t>TUBERIA DE DRENAJE</t>
  </si>
  <si>
    <t>CAMARA 02</t>
  </si>
  <si>
    <t>CAMARA 03</t>
  </si>
  <si>
    <t>CAMARA 04</t>
  </si>
  <si>
    <t>CAMARA 01 (ESPECIAL)</t>
  </si>
  <si>
    <t>DIAMETRO (m)</t>
  </si>
  <si>
    <t>CAMARA 05</t>
  </si>
  <si>
    <t>CAMARA 06</t>
  </si>
  <si>
    <t>CAMARA 07</t>
  </si>
  <si>
    <t>CAMARA 08</t>
  </si>
  <si>
    <t>CAMARA 09 (ESPECIAL)</t>
  </si>
  <si>
    <t>LOCALIZACIÓN Y REPLANTEO CAMARAS DE INSPECCION</t>
  </si>
  <si>
    <t>PANTALLA ANCLADA</t>
  </si>
  <si>
    <t>GAVIONES</t>
  </si>
  <si>
    <t>LLENO CON MATERIAL DE PRESTAMO RESPALDADO CON TRINCHOS (TRAMO N°1)</t>
  </si>
  <si>
    <t>LLENO CON MATERIAL DE PRESTAMO RESPALDADO CON TRINCHOS (TRAMO N°2)</t>
  </si>
  <si>
    <t>LLENO CON MATERIAL DE PRESTAMO RESPALDADO CON TRINCHOS (TRAMO N°3)</t>
  </si>
  <si>
    <t>LLENO CON MATERIAL DE PRESTAMO RESPALDADO CON TRINCHOS (TRAMO N°4)</t>
  </si>
  <si>
    <t>SUBTOTAL</t>
  </si>
  <si>
    <t>LOCALIZACIÓN Y REPLANTEO PARA ESTRUCTURAS OBRAS PRELIMINAES</t>
  </si>
  <si>
    <t>CAMINO PARA ACCESO PEATONAL PRINCIPAL</t>
  </si>
  <si>
    <t xml:space="preserve">CAMINO EXISTENTE PARALELO AL TUNEL </t>
  </si>
  <si>
    <t>PATIO DE MANEJO DE MATERIALES (ALEDAÑO VIA NACIONAL)</t>
  </si>
  <si>
    <t>PATIO DE MANIOBRAS N°1</t>
  </si>
  <si>
    <t>PATIO DE MANIOBRAS N°2</t>
  </si>
  <si>
    <t>PATIO DE MANIOBRAS N°3</t>
  </si>
  <si>
    <t>PATIO DE MANIOBRAS N°4</t>
  </si>
  <si>
    <t>SENDERO PARA LA ENTRADA DE PERSONAL Y EQUIPOS MENORES (L: 53m)</t>
  </si>
  <si>
    <t>SENDERO PARA LA ENTRADA DE PERSONAL Y EQUIPOS MENORES (L: 21m)</t>
  </si>
  <si>
    <t>SENDERO INFERIOR PARALELO A LA CONDUCCION DE DESVIO</t>
  </si>
  <si>
    <t>CONSTRUCCION DE VIA DE ACCESO PARA MANEJO DE MATERIALES ALEDAÑA A VIA NACIONAL</t>
  </si>
  <si>
    <t>ESPESOR (m)</t>
  </si>
  <si>
    <t>DEMOLICIÓN PARA ADECUACION DE DESVIO A CONDUCCION PROVISIONAL</t>
  </si>
  <si>
    <t>ALTO (m)</t>
  </si>
  <si>
    <t>DEMOLICIÓN PARA AMPLIACION DEL INICIO DEL TUNEL N°19</t>
  </si>
  <si>
    <t>VOLUMEN (m3)</t>
  </si>
  <si>
    <t>DEMOLICIÓN PARA ADECUACION DE LA ENTEGA DESDE CONDUCCION PROVISIONAL A TUNEL</t>
  </si>
  <si>
    <t>1.1. ACTIVIDADES PRELIMINARES</t>
  </si>
  <si>
    <t>1.2. MOVIMIENTO DE TIERRA</t>
  </si>
  <si>
    <t>1.2.1. EXCAVACIONES PARA ADECUACION DE PATIOS DE MANIOBRA</t>
  </si>
  <si>
    <t>EXCAVACIÓN EN MATERIAL COMUN, PARA ADECUACION DE PATIOS DE MANIOBRA</t>
  </si>
  <si>
    <t xml:space="preserve"> PATIO DE MANEJO DE MATERIALES</t>
  </si>
  <si>
    <t xml:space="preserve"> PATIO DE MANIOBRAS N°1</t>
  </si>
  <si>
    <t xml:space="preserve"> PATIO DE MANIOBRAS N°2</t>
  </si>
  <si>
    <t xml:space="preserve"> PATIO DE MANIOBRAS N°3</t>
  </si>
  <si>
    <t xml:space="preserve"> PATIO DE MANIOBRAS N°4</t>
  </si>
  <si>
    <t>TRAMO</t>
  </si>
  <si>
    <t>ALTURA CAM.</t>
  </si>
  <si>
    <t>MATERIAL</t>
  </si>
  <si>
    <t xml:space="preserve">DIAM. </t>
  </si>
  <si>
    <t>LONG.</t>
  </si>
  <si>
    <t>CORTES</t>
  </si>
  <si>
    <t>CIMENT. BAJO TUB.</t>
  </si>
  <si>
    <t>H prom</t>
  </si>
  <si>
    <t>AREA LONG</t>
  </si>
  <si>
    <t>EXCAVACIONES  0&lt;H&lt;2</t>
  </si>
  <si>
    <t>EXCAVACIONES  H&gt;2</t>
  </si>
  <si>
    <t xml:space="preserve">TOTAL TRAMO </t>
  </si>
  <si>
    <t xml:space="preserve">VOL. TUBERÍA </t>
  </si>
  <si>
    <t>VOLUMEN MATERIAL GRANULAR PVC</t>
  </si>
  <si>
    <t>LLENO CON MAT. DEL SITIO</t>
  </si>
  <si>
    <t>EXCAVACIÓN CÁMARAS</t>
  </si>
  <si>
    <t>RETIRO MATERIAL SOBRANTE</t>
  </si>
  <si>
    <t>DE</t>
  </si>
  <si>
    <t>A</t>
  </si>
  <si>
    <t>H1</t>
  </si>
  <si>
    <t>H2</t>
  </si>
  <si>
    <t xml:space="preserve">ANCHO DE BRECHA </t>
  </si>
  <si>
    <t>H &lt; 2 m</t>
  </si>
  <si>
    <t>VOLUMEN</t>
  </si>
  <si>
    <t>H &gt; 2 m</t>
  </si>
  <si>
    <t>H &lt; 2m</t>
  </si>
  <si>
    <t>H &gt; 2m</t>
  </si>
  <si>
    <t>(m)</t>
  </si>
  <si>
    <t>(mm)</t>
  </si>
  <si>
    <t>(m²)</t>
  </si>
  <si>
    <t>(m³)</t>
  </si>
  <si>
    <t>Factor</t>
  </si>
  <si>
    <t>CANTIDADES CONDUCCION DE DESVIO PROVISIONAL</t>
  </si>
  <si>
    <t>T-18</t>
  </si>
  <si>
    <t>CM-01</t>
  </si>
  <si>
    <t>CM-02</t>
  </si>
  <si>
    <t>CM-03</t>
  </si>
  <si>
    <t>CM-04</t>
  </si>
  <si>
    <t>CM-05</t>
  </si>
  <si>
    <t>CM-06</t>
  </si>
  <si>
    <t>CM-07</t>
  </si>
  <si>
    <t>CM-08</t>
  </si>
  <si>
    <t>CM-09</t>
  </si>
  <si>
    <t>T-20</t>
  </si>
  <si>
    <t>FIBRA V.</t>
  </si>
  <si>
    <t>PEAD</t>
  </si>
  <si>
    <t>ALTURA CIMENTACIÓN
De + 0.40</t>
  </si>
  <si>
    <t>1.2.3.2</t>
  </si>
  <si>
    <t>EXCAVACIÓN CONGLOMERADO  2 - 4 m, CONSTRUCCION DE CAMARAS</t>
  </si>
  <si>
    <t>ÁREA 
PROMEDIO
(m2)</t>
  </si>
  <si>
    <t>EXCAVACIÓN CONGLOMERADO &lt; 2 m, CONSTRUCCION DE TRINCHO N°1</t>
  </si>
  <si>
    <t>EXCAVACIÓN CONGLOMERADO &lt; 2 m, CONSTRUCCION DE TRINCHO N°2</t>
  </si>
  <si>
    <t>EXCAVACIÓN CONGLOMERADO &lt; 2 m, CONSTRUCCION DE TRINCHO N°3</t>
  </si>
  <si>
    <t>EXCAVACIÓN CONGLOMERADO &lt; 2 m, CONSTRUCCION DE TRINCHO N°4</t>
  </si>
  <si>
    <t>EXCAVACIÓN EN MATERIAL COMUN, CONSTRUCCION DE PANTALLA ANCLADA</t>
  </si>
  <si>
    <t>1.2.2. EXCAVACIONES PARA LA CONDUCCION DE DESVIO</t>
  </si>
  <si>
    <t>1.2.3. EXCAVACIONES PARA CONSTRUCCIÓN DE CÁMARAS</t>
  </si>
  <si>
    <t>1.3. SUMINISTRO E INSTALACIÓN DE TUBERÍAS Y ACCESORIOS</t>
  </si>
  <si>
    <t>DIÁMETRO</t>
  </si>
  <si>
    <t>(Pulgadas)</t>
  </si>
  <si>
    <t>SUMINISTRO E INSTALACIÓN DE TUBERÍA PVC AR DN 150 mm (Ø6"), PARA DRENAJE DEL TUNEL Y CONDUCCION PROVISIONAL</t>
  </si>
  <si>
    <t>SUMINISTRO E INSTALACIÓN DE TUBERÍA PEAD DN 160 mm PN 10, PARA CONEXION DE VALVULAS DE DRENAJE</t>
  </si>
  <si>
    <t xml:space="preserve">VALVULA ENTRE TUNEL N° 19 Y CAMARA DE DESCARGA </t>
  </si>
  <si>
    <t xml:space="preserve">VALVULA ENTRE CAMARA N° 09 Y CAMARA DE DESCARGA </t>
  </si>
  <si>
    <t>1.4. OBRAS EN CONCRETO</t>
  </si>
  <si>
    <t>CAMARA ESPECIAL DE EMPALME A CONDUCCION PROVISIONAL</t>
  </si>
  <si>
    <t>CAMARA ESPECIAL DE EMPALME A TUNEL N°20</t>
  </si>
  <si>
    <t>ÁREA MANHOLE (m2)</t>
  </si>
  <si>
    <t>ÁREA TOTAL (m2)</t>
  </si>
  <si>
    <t>ÁREA SIN MANHOLE (m2)</t>
  </si>
  <si>
    <t>1.5. ACERO DE REFUERZO</t>
  </si>
  <si>
    <t>N° BARRA</t>
  </si>
  <si>
    <t>PESO
(kg/m)</t>
  </si>
  <si>
    <t>LONGITUD
(m)</t>
  </si>
  <si>
    <t>CANT. TRASLAPOS</t>
  </si>
  <si>
    <t>LONGITUD TRASLAPOS</t>
  </si>
  <si>
    <t>LONG. TOTAL
(m)</t>
  </si>
  <si>
    <t>PESO
(kg)</t>
  </si>
  <si>
    <t>Horizontal pantalla</t>
  </si>
  <si>
    <t>Vertical pantalla</t>
  </si>
  <si>
    <t>Viga de apoyo</t>
  </si>
  <si>
    <t>Estribo en viga</t>
  </si>
  <si>
    <t>ACERO Fy= 420 MPa (60.000 Psi) DE REFUERZO, PARA PANTALLA ANCLADA</t>
  </si>
  <si>
    <t>ACERO Fy= 420 MPa (60.000 Psi) DE REFUERZO , PARA CUERPO DE CAMARAS</t>
  </si>
  <si>
    <t>Vertical</t>
  </si>
  <si>
    <t>Horizontal</t>
  </si>
  <si>
    <t>Kg/m</t>
  </si>
  <si>
    <t>LONGITUD CUERPO DE CAMARA</t>
  </si>
  <si>
    <t>TOTAL ACERO PARA CUERPO DE CAMARA</t>
  </si>
  <si>
    <t>1.6. OBRAS VARIAS</t>
  </si>
  <si>
    <t>LINEA SUPERIOR DE ANCLAJES</t>
  </si>
  <si>
    <t>SEPARACION
(m)</t>
  </si>
  <si>
    <t>LONGITUD DE CADA ANCLAJE</t>
  </si>
  <si>
    <t>LONGITUD
DE PANTALLA
(m)</t>
  </si>
  <si>
    <t>AMPLIACION DEL INICIO DEL TUNEL N°19 (MARGEN DERECHA)</t>
  </si>
  <si>
    <t>AMPLIACION DEL INICIO DEL TUNEL N°19 (MARGEN IZQUIERDA)</t>
  </si>
  <si>
    <t>GAVION CON SACOS</t>
  </si>
  <si>
    <t>AREA (m2)</t>
  </si>
  <si>
    <t>CANTIDAD DE CUERPOS</t>
  </si>
  <si>
    <t>VOLUMEN TOTAL DE GAVIONES</t>
  </si>
  <si>
    <t>TRINCHOS (TRAMO N°1)</t>
  </si>
  <si>
    <t>TRINCHOS (TRAMO N°2)</t>
  </si>
  <si>
    <t>TRINCHOS (TRAMO N°3)</t>
  </si>
  <si>
    <t>TRINCHOS (TRAMO N°4)</t>
  </si>
  <si>
    <t>CAMARA DE EMPALME A CONDUCCION PROVISIONAL</t>
  </si>
  <si>
    <t>CAMARA DE DESCARGA AL TUNEL N°20</t>
  </si>
  <si>
    <t>LONGITUD
PERIMETRAL
(m)</t>
  </si>
  <si>
    <t>AREA SECCION TRANSVERSAL DE EMPALME (m2)</t>
  </si>
  <si>
    <t>VOLUMEN
(m3)</t>
  </si>
  <si>
    <t>DENSIDAD (Kg/L)</t>
  </si>
  <si>
    <t>PESO
(Kg)</t>
  </si>
  <si>
    <t>VOLUMEN
(L)</t>
  </si>
  <si>
    <t>ITE5764</t>
  </si>
  <si>
    <t>ITE5765</t>
  </si>
  <si>
    <t>Varilla corrugada de ½"</t>
  </si>
  <si>
    <t>Perforación en muro en croncreto (L: 20 cm)</t>
  </si>
  <si>
    <t xml:space="preserve">ANCLAJE EN VARILLA CORRUGADA DE Ø ½", SEGÚN DISEÑO, PARA REFORZAMIENTO DE LA AMPLIACION DEL BOX COULVERT DE ENTRADA AL TUNEL N°19 </t>
  </si>
  <si>
    <t xml:space="preserve">ANCLAJE EN VARILLA CORRUGADA DE Ø 3/4" (L: 0.30m), SEGÚN DISEÑO, PARA ANCLAR TABLERO DE PROTECCION Y DESVIO DE ENTRADA AL TUNEL N°19 </t>
  </si>
  <si>
    <t>Varilla corrugada de 3/4"</t>
  </si>
  <si>
    <t>Perforación en muro en croncreto (L: 30 cm)</t>
  </si>
  <si>
    <t>ITE5766</t>
  </si>
  <si>
    <t xml:space="preserve">ANCLAJE EN VARILLA CORRUGADA DE Ø 3/4" (L: 0.15m), SEGÚN DISEÑO, PARA ANCLAR TABLERO DE PROTECCION Y DESVIO DE ENTRADA AL TUNEL N°19 </t>
  </si>
  <si>
    <t>Perforación en muro en croncreto (L: 15 cm)</t>
  </si>
  <si>
    <t>1.6.12</t>
  </si>
  <si>
    <t>1.6.13</t>
  </si>
  <si>
    <t>1.6.14</t>
  </si>
  <si>
    <t>SUMINISTRO Y APLICACIÓN DE ADHESIVO EPOXICO ENTRE CONCRETO VIEJO A CONCRETO NUEVO CON SIKADUR 32 O SIMILAR.</t>
  </si>
  <si>
    <t>FRANJA INFERIOR DEL ESCUDO DE PROTECCION</t>
  </si>
  <si>
    <t>FRANJA LATERAL IZQUIERDA DEL ESCUDO DE PROTECCION</t>
  </si>
  <si>
    <t>FRANJA LATERAL DERECHA DEL ESCUDO DE PROTECCION</t>
  </si>
  <si>
    <t>ESPACIAMIENTO ENTRE ANCLAJE
(m)</t>
  </si>
  <si>
    <t>CANTIDAD DE ANCLAJES POR CADA ESPACIO</t>
  </si>
  <si>
    <t>CANTIDAD
(Und)</t>
  </si>
  <si>
    <t>INICIO DEL TUNEL N°19</t>
  </si>
  <si>
    <t>FINAL DEL TUNEL N°19</t>
  </si>
  <si>
    <t>CABEZAL DE DESCARGA PARA TUBERIA DE DRENAJE</t>
  </si>
  <si>
    <t>MATERIAL EXCAVADO DE LA CONDUCCION PROVISIONAL</t>
  </si>
  <si>
    <t>LONGITUD
 (m)</t>
  </si>
  <si>
    <t>CANTIDAD DE USOS</t>
  </si>
  <si>
    <t>AREA TOTAL DE PLASTICOS PARA PROTECCION DE MATERIAL</t>
  </si>
  <si>
    <t>COMPONENTE II: OBRAS PRELIMINARES Y CONDUCCIÓN DE DESVÍO</t>
  </si>
  <si>
    <t>2.1. MOVIMIENTO DE TIERRA</t>
  </si>
  <si>
    <t>ABSCISA</t>
  </si>
  <si>
    <t>DISTANCIA</t>
  </si>
  <si>
    <t>ÁREA</t>
  </si>
  <si>
    <t>(m2)</t>
  </si>
  <si>
    <t>(m3)</t>
  </si>
  <si>
    <t>COEFICIENTE DE EXPANSION</t>
  </si>
  <si>
    <t>SUBTOTAL CORTE EN TÚNEL</t>
  </si>
  <si>
    <t>TOTAL LLENO EN TÚNEL</t>
  </si>
  <si>
    <t>MATERIAL GRANULAR AL INTERIOR DEL TUNEL</t>
  </si>
  <si>
    <t>ANCHO
(m)</t>
  </si>
  <si>
    <t>MATERIAL DE EXCAVACIÓN SUBTERRÁNEA PARA LA CONFORMACIÓN DE LA SECCIÓN DEL TÚNEL</t>
  </si>
  <si>
    <t>CONCRETO PARA SOLADO Y RENIVELACION DE RASANTE.</t>
  </si>
  <si>
    <t>TOTAL TRASIEGO Y DISPOSICIÓN DEL MATERIAL SOBRANTE</t>
  </si>
  <si>
    <t>2.1. OBRAS EN CONCRETO</t>
  </si>
  <si>
    <t>CONCRETO DE 28 MPa PARA PISO DE TÚNELES e=0.30 m</t>
  </si>
  <si>
    <t>PERIMETRO BOVEDA
(m)</t>
  </si>
  <si>
    <t>LONGITUD
TUNEL TIPO N°1 (m)</t>
  </si>
  <si>
    <t>CONCRETO DE 28 MPa PARA BOVEDA DE TÚNELES e=0.30 m (TRAMO N°1)</t>
  </si>
  <si>
    <t>CONCRETO DE 28 MPa PARA BOVEDA DE TÚNELES e=0.30 m (TRAMO N°2)</t>
  </si>
  <si>
    <t>CONCRETO DE 28 MPa PARA MURO LATERAL IZQUIERDO DE TÚNELES e=0.30 m</t>
  </si>
  <si>
    <t>CONCRETO DE 28 MPa PARA MURO LATERAL DERECHO DE TÚNELES e=0.30 m</t>
  </si>
  <si>
    <t>ALTURA DEL MURO
(m)</t>
  </si>
  <si>
    <t>CONCRETO PARA SOLADO DE LIMPIEZA</t>
  </si>
  <si>
    <t>CONCRETO PARA RENIVELACION DE RASANTE POR CARCAVAS EN EL PISO</t>
  </si>
  <si>
    <t>2.3. ACERO DE REFUERZO</t>
  </si>
  <si>
    <t>ACERO Fy= 420 MPa (60.000 psi) DE REFUERZO FIGURADO EN LADERA (CONDICIONES ESPECIALES)</t>
  </si>
  <si>
    <t>ACERO Fy= 420 MPa (60.000 psi) DE REFUERZO, PARA SOLERA, MUROS LATERALES Y BOVEDA EN CONCRETO ESTRUCTURAL</t>
  </si>
  <si>
    <t>SOLERA, PAREDES Y BOVEDA TUNEL (REFUERZO TIPO 1, TRAMO 1 LONGITUD 5m)</t>
  </si>
  <si>
    <t>Vertical interno</t>
  </si>
  <si>
    <t>Horizontal interno</t>
  </si>
  <si>
    <t>Vertical externo Superior</t>
  </si>
  <si>
    <t>Longitudinal solera inferior</t>
  </si>
  <si>
    <t>Longitudinal solera superior</t>
  </si>
  <si>
    <t>Transvesal externo solera y paredes</t>
  </si>
  <si>
    <t>Transvesal interno solera</t>
  </si>
  <si>
    <t>SOLERA, PAREDES Y BOVEDA TUNEL (REFUERZO TIPO 1, TRAMO 2 LONGITUD 5m)</t>
  </si>
  <si>
    <t>SOLERA, PAREDES TUNEL (REFUERZO TIPO 2, LONGITUD: 300m)</t>
  </si>
  <si>
    <t>Vertical interno 1</t>
  </si>
  <si>
    <t>Vertical interno 2</t>
  </si>
  <si>
    <t>Longitudinal solera externo</t>
  </si>
  <si>
    <t xml:space="preserve">TOTAL ACERO DE REFUERZO, PARA SOLERA, MUROS LATERALES Y BOVEDA </t>
  </si>
  <si>
    <t>2.4. OBRAS VARIAS</t>
  </si>
  <si>
    <t>LONGITUD TOTAL (m)</t>
  </si>
  <si>
    <t>JUNTA DE CONSTRUCCIÓN CON CINTA PVC V - 15, MARGEN IZQ.</t>
  </si>
  <si>
    <t>JUNTA DE CONSTRUCCIÓN CON CINTA PVC V - 15, MARGEN DER.</t>
  </si>
  <si>
    <t>JUNTA DE CONTRACCIÓN CON CINTA PVC V - 15</t>
  </si>
  <si>
    <t>ACCESO LATERAL K0+072 m</t>
  </si>
  <si>
    <t>ACCESO LATERAL K0+156 m</t>
  </si>
  <si>
    <t>ACCESO LATERAL K0+257 m</t>
  </si>
  <si>
    <t>3.1. MOVIMIENTO DE TIERRA</t>
  </si>
  <si>
    <t>FACTOR DE MAYORACION</t>
  </si>
  <si>
    <t>3.1.1. EXCAVACIÓN CONGLOMERADO &lt; 2 m.</t>
  </si>
  <si>
    <t>3.1.2. RECUPERACIÓN DE TUBERÍA PEAD ALCANTARILLADO DN 900 mm (Φ36"), INCLUYE TRASLADO A INSTALACIONES EPA, (DEBE INCLUIR ACOMPAÑAMIENTO DEL PROVEEDOR DE LA TUBERIA).</t>
  </si>
  <si>
    <t>3.1.4. CARGUE Y RETIRO MATERIAL SOBRANTE MAS ESCOMBROS, INCLUYE TRANSPORTE Y DISPOSICION DE ESCOMBROS, INCLUYE TRASIEGO DE MATERIAL CON USO DE TARABITA.</t>
  </si>
  <si>
    <t>1.2.6.2</t>
  </si>
  <si>
    <t>1.2.6.3</t>
  </si>
  <si>
    <t>1.2.6.4</t>
  </si>
  <si>
    <r>
      <t>Obtención plantulas de guadua (guadua angustiolia) densidad de 1.5 guaduas/m</t>
    </r>
    <r>
      <rPr>
        <vertAlign val="superscript"/>
        <sz val="12"/>
        <color rgb="FFFF0000"/>
        <rFont val="Arial Narrow"/>
        <family val="2"/>
      </rPr>
      <t>2</t>
    </r>
  </si>
  <si>
    <t>Cuadrillas EPA 2018</t>
  </si>
  <si>
    <t>hora</t>
  </si>
  <si>
    <t>cuadrilla 0:0:1</t>
  </si>
  <si>
    <t>cuadrilla 0:0:2</t>
  </si>
  <si>
    <t>cuadrilla 0:0:3</t>
  </si>
  <si>
    <t>cuadrilla 0:1:0</t>
  </si>
  <si>
    <t>cuadrilla 0:1:1</t>
  </si>
  <si>
    <t>cuadrilla 0:1:2</t>
  </si>
  <si>
    <t>cuadrilla 0:1:3</t>
  </si>
  <si>
    <t>cuadrilla 0:1:4</t>
  </si>
  <si>
    <t>cuadrilla 0:0:4</t>
  </si>
  <si>
    <t>Comisión topográfica (1 Top + 1 Cad + 2 Cad2)</t>
  </si>
  <si>
    <t>Cuadrilla 0:2:4</t>
  </si>
  <si>
    <t>cuadrilla 0:2:4</t>
  </si>
  <si>
    <t>cuadrilla 0:1:7</t>
  </si>
  <si>
    <t>Cuadrilla 0:1:7</t>
  </si>
  <si>
    <t>Cuadrilla 0:1:0</t>
  </si>
  <si>
    <t>cuadrilla 0:0:6</t>
  </si>
  <si>
    <t>Cuadrilla 0:0:6</t>
  </si>
  <si>
    <t>cuadrilla 0:1:5</t>
  </si>
  <si>
    <t>Compresor de aire 2 martillos No (incluye operario)</t>
  </si>
  <si>
    <t>Cuadrilla 0:1:3</t>
  </si>
  <si>
    <r>
      <t>Volqueta capacidad 5 m</t>
    </r>
    <r>
      <rPr>
        <vertAlign val="superscript"/>
        <sz val="11"/>
        <rFont val="Calibri"/>
        <family val="2"/>
        <scheme val="minor"/>
      </rPr>
      <t>3</t>
    </r>
  </si>
  <si>
    <t>Juego de andamio (2 marcos 1 x 1.52, tijeras, 2 teleras, y 2 tijeras)</t>
  </si>
  <si>
    <t xml:space="preserve">Concreto de f'c 21 MPa (3000 psi) </t>
  </si>
  <si>
    <t>impermeabilizante (Plastocrete DM o similar) x 20kg</t>
  </si>
  <si>
    <t>Plástico Cal 4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</si>
  <si>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</si>
  <si>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</si>
  <si>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t>Insumos</t>
  </si>
  <si>
    <t>1.3.4. VÁLVULA EB AC Ø 6" SELLO ELÁSTICO</t>
  </si>
  <si>
    <t>1.4.6. PLACA SUPERIOR Y DE FONDO EN CONCRETO PARA CÁMARA ESPECIAL DE f'c 21 MPa (3000 psi), e = 0,15 m, INCLUYE REFUERZO, INCLUYE TRASIEGO DE MATERIAL CON USO DE TARABITA</t>
  </si>
  <si>
    <t>1.4.7. MUROS EN CONCRETO IMPERMEABILIZADO DE f'c 21 MPa (3000 psi) e= 0,25 m, PARA CAMARAS ESPECIALES, INCLUYE TRASIEGO DE MATERIAL CON USO DE TARABITA</t>
  </si>
  <si>
    <t>1.4.8. PLACA SUPERIOR EN CONCRETO DE f'c 24 MPa (3500 psi), e = 0,25 m, PARA CAMARAS ESPECIALES, INCLUYE TAPA EN POLIPROPILENO, INCLUYE TRASIEGO DE MATERIAL CON USO DE TARABITA</t>
  </si>
  <si>
    <t>1.6.1. ANCLAJE PASIVO EN BARRA DE 1", INCLUYE CENTRALIZADORES, EXCAVACIÓN Y RELLENO EN CONCRETO TIPO GROUTING (CEMENTO + ARENÓN  MEZCLA 1:3)</t>
  </si>
  <si>
    <t>1.6.2. DRENES SUBHORIZONTALES PVC 3" PERFORADA PARA FILTRO INCLUYE PERFORACIÓN</t>
  </si>
  <si>
    <t xml:space="preserve">1.6.3. ANCLAJE EN VARILLA CORRUGADA DE Ø 3/4" (L: 0.30m), SEGÚN DISEÑO, PARA ANCLAR TABLERO DE PROTECCION Y DESVIO DE ENTRADA AL TUNEL N°19 </t>
  </si>
  <si>
    <t xml:space="preserve">1.6.4. ANCLAJE EN VARILLA CORRUGADA DE Ø 3/4" (L: 0.15m), SEGÚN DISEÑO, PARA ANCLAR TABLERO DE PROTECCION Y DESVIO DE ENTRADA AL TUNEL N°19 </t>
  </si>
  <si>
    <t xml:space="preserve">1.6.5. ANCLAJE EN VARILLA CORRUGADA DE Ø ½", SEGÚN DISEÑO, PARA REFORZAMIENTO DE LA AMPLIACION DEL BOX COULVERT DE ENTRADA AL TUNEL N°19 </t>
  </si>
  <si>
    <t>1.6.9. SUMINISTRO E INSTALACIÓN DE BOX EN FIBRA DE VIDRIO PARA EL EMPALME ENTRE CONDUCCIÓN EXISTENTE Y CONDUCCIÓN PROVISIONAL SECCIÓN 1.0 x 1.5 m, SEGÚN DISEÑO</t>
  </si>
  <si>
    <t>1.6.11. SUMINISTRO E INSTALACIÓN DE COMPUERTA EN PLÁSTICO POLIPROPILENO 100% TIPO GUILLOTINA, INCLUYE RIELES LATERALES EN PLÁSTICO POLIPROPILENO 100%, CIERRE TIPO CONO, CON ÁREA EFECTIVA 1m X 1m, SEGÚN DISEÑO, INCLUYE VÁSTAGO Y TORRE DE MANIOBRA</t>
  </si>
  <si>
    <t>1.6.12. SUMINISTRO E INSTALACIÓN DE PANTALLA EN LÁMINA DE ACERO 2.10m X 1.15m, ESPESOR:3/16", REFORZADA CON ÁNGULOS EN ACERO DE 2" X 2" X ¼", INCLUYE ANCLAJES GUÍAS, SEGÚN DISEÑO</t>
  </si>
  <si>
    <t>2.1.1. EXCAVACIÓN SUBTERRÁNEA PARA LA CONFORMACIÓN DE LA SECCIÓN DEL TÚNEL, EN CUALQUIER TIPO DE MATERIAL ( INCLUYE DESALOJO DE MATERIAL)</t>
  </si>
  <si>
    <t>2.1.2. LLENO INTERIOR DEL TÚNEL UTILIZANDO SACOS DE SUELO CEMENTO AL 7%</t>
  </si>
  <si>
    <t>2.2.1. CONCRETO DE 28 MPa PARA PISO DE TÚNELES e=0.30 m, INCLUYE TRASIEGO DE MATERIAL CON USO DE TARABITA</t>
  </si>
  <si>
    <t>2.2.2. CONCRETO LANZADO PARA TÚNELES, INCLUYE MALLA ELECTROSOLDADA, LLORADEROS Y ANCLAJES PARA MALLA</t>
  </si>
  <si>
    <t>2.2.3. MUROS Y BÓVEDA EN CONCRETO IMPERMEABILIZADO DE f'c 28 MPa, e= 0,30 m, INCLUYE TRASIEGO DE MATERIAL CON USO DE TARABITA</t>
  </si>
  <si>
    <t>3.1.2. RECUPERACIÓN DE TUBERÍA PEAD ALCANTARILLADO DN 900 mm (Φ36"), INCLUYE TRASLADO A INSTALACIONES EPA, (DEBE INCLUIR ACOMPAÑAMIENTO DEL PROVEEDOR DE LA TUBERIA)</t>
  </si>
  <si>
    <t>Anidado : TRASIEGO DE MATERIAL CON USO DE TARABITA</t>
  </si>
  <si>
    <t xml:space="preserve">1.3.3. SUMINISTRO E INSTALACIÓN DE TUBERÍA PEAD DN 160 mm PN 10 </t>
  </si>
  <si>
    <t>1.4.1. CONCRETO PARA CUERPO DE PANTALLA ANCLADA , f'c 28 MPa (4000 psi), INCLUYE TRASIEGO DE MATERIAL CON USO DE TARABITA</t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</si>
  <si>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</si>
  <si>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</si>
  <si>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9"/>
        <rFont val="Calibri"/>
        <family val="2"/>
        <scheme val="minor"/>
      </rPr>
      <t>3</t>
    </r>
  </si>
  <si>
    <r>
      <t>Volqueta capacidad 5 m</t>
    </r>
    <r>
      <rPr>
        <vertAlign val="superscript"/>
        <sz val="11"/>
        <color theme="1"/>
        <rFont val="Calibri"/>
        <family val="2"/>
        <scheme val="minor"/>
      </rPr>
      <t>3</t>
    </r>
  </si>
  <si>
    <t>Documento Controlado</t>
  </si>
  <si>
    <t xml:space="preserve">Prespuesto de Obra </t>
  </si>
  <si>
    <t>Código: GPT-R-021</t>
  </si>
  <si>
    <t>Versión: 01</t>
  </si>
  <si>
    <t>Fecha de Emisión: 18-02-19</t>
  </si>
  <si>
    <t>Pagina: 1 / 1</t>
  </si>
  <si>
    <t xml:space="preserve">Codigo del Proyecto </t>
  </si>
  <si>
    <t>Fecha</t>
  </si>
  <si>
    <t>AA</t>
  </si>
  <si>
    <t>MM</t>
  </si>
  <si>
    <t>DD</t>
  </si>
  <si>
    <t xml:space="preserve">Presupuesto de Obra </t>
  </si>
  <si>
    <t xml:space="preserve">Alcance de la Obra </t>
  </si>
  <si>
    <t>CONSTRUCCIÓN PARA EL REFORZAMIENTO ESTRUCTURAL DEL TÚNEL 19 DE LA CONDUCCIÓN DE AGUA CRUDA DE EMPRESAS PÚBLICAS DE ARMENIA ESP</t>
  </si>
  <si>
    <t>Item</t>
  </si>
  <si>
    <t xml:space="preserve">Descripcion </t>
  </si>
  <si>
    <t xml:space="preserve">Unidad </t>
  </si>
  <si>
    <t>Vr. Unitario</t>
  </si>
  <si>
    <t>Vr.Total</t>
  </si>
  <si>
    <r>
      <t>m</t>
    </r>
    <r>
      <rPr>
        <vertAlign val="superscript"/>
        <sz val="10"/>
        <color indexed="8"/>
        <rFont val="Arial"/>
        <family val="2"/>
      </rPr>
      <t>2</t>
    </r>
  </si>
  <si>
    <t>DESCUMBRE, LIMPIEZA, ROCERÍA Y EVACUACIÓN DE BASURAS PARA PATIOS DE MANIOBRA</t>
  </si>
  <si>
    <r>
      <t>m</t>
    </r>
    <r>
      <rPr>
        <vertAlign val="superscript"/>
        <sz val="10"/>
        <color indexed="8"/>
        <rFont val="Arial"/>
        <family val="2"/>
      </rPr>
      <t>3</t>
    </r>
  </si>
  <si>
    <t>SISTEMA DE ACOMETIDA PRINCIPAL Y DISTRIBUCION BASICA DE ENERGIA, INCLUYE TABLEROS DE DISTRIBUCION Y CONTROL.</t>
  </si>
  <si>
    <t>1.2.2.2</t>
  </si>
  <si>
    <t>EXCAVACIÓN CONGLOMERADO  2 - 4 m, ZANJA PARA LA CONDUCCION</t>
  </si>
  <si>
    <t>LLENO COMPACTADO CON MATERIAL DEL SITIO O DE PRESTAMO</t>
  </si>
  <si>
    <t>SUMINISTRO E INSTALACIÓN DE TUBERÍA PEAD PN 10 DN 160 mm</t>
  </si>
  <si>
    <t>CONCRETO DE 28 Mpa PARA PISO DE TÚNELES e=0.30 m, INCLUYE TRASIEGO DE MATERIAL CON USO DE TARABITA</t>
  </si>
  <si>
    <t>MUROS Y BOVEDA EN CONCRETO IMPERMEABILIZADO DE f'c 21 MPa (3000 psi) e= 0,30 m, EN SITIOS DE ALTO RIESGO, INCLUYE TRASIEGO DE MATERIAL CON USO DE TARABITA</t>
  </si>
  <si>
    <t>Total Costo Directo</t>
  </si>
  <si>
    <t>Administración</t>
  </si>
  <si>
    <t>Imprevistos</t>
  </si>
  <si>
    <t>Utilidad</t>
  </si>
  <si>
    <t>Iva sobre la utilidad</t>
  </si>
  <si>
    <t>Nombre</t>
  </si>
  <si>
    <t xml:space="preserve">Firma </t>
  </si>
  <si>
    <t>Revisó:</t>
  </si>
  <si>
    <t>Aprobó:</t>
  </si>
  <si>
    <t>Actualizó</t>
  </si>
  <si>
    <t>Juan Camilo Toro Alzate - Ing Contratista</t>
  </si>
  <si>
    <t>Julian David Ospina Londoño - Gestor Planeación Técnica</t>
  </si>
  <si>
    <t>Vr. Unitario 2019</t>
  </si>
  <si>
    <t>Vr. Unitario 2020 (IPC)</t>
  </si>
  <si>
    <t>Tubería PEAD alcantarillado DN 900 mm (Ø36")</t>
  </si>
  <si>
    <t>Sikadur anchorfix (600 ml) o similar</t>
  </si>
  <si>
    <t>Tierra amarilla</t>
  </si>
  <si>
    <t>Estopa</t>
  </si>
  <si>
    <t>1.1.9. SISTEMA DE ACOMETIDA PRINCIPAL Y DISTRIBUCIÓN BÁSICA DE ENERGÍA, INCLUYE TABLEROS DE DISTRIBUCIÓN Y CONTROL.</t>
  </si>
  <si>
    <t>Isabel Cristina Ortiz Cortez  - Subgerente Técnico</t>
  </si>
  <si>
    <t>NOTA: Este presupuesto corresponde a una actualización a la vigencia presente (2020) del valor de los insumos que hacen parte de los análisis unitarios del presupuesto entregado por la consultoria 004/2017 para la " CONSTRUCCIÓN PARA EL REFORZAMIENTO ESTRUCTURAL DEL TÚNEL 19 DE LA CONDUCCIÓN DE AGUA CRUDA DE EMPRESAS PÚBLICAS DE ARMENIA ESP", en ningún momento se modifica o altera la estructura, rendimientos y/o componentes de los análisis unitarios objeto de dicha actualización.</t>
  </si>
  <si>
    <t xml:space="preserve">Analisis de precios unitarios </t>
  </si>
  <si>
    <t xml:space="preserve">OBJETO </t>
  </si>
  <si>
    <t xml:space="preserve">Costo total Ejecución Obras </t>
  </si>
  <si>
    <t>item</t>
  </si>
  <si>
    <t xml:space="preserve">Cantidad por persona </t>
  </si>
  <si>
    <t xml:space="preserve">Vr unitario </t>
  </si>
  <si>
    <t xml:space="preserve">Vr total </t>
  </si>
  <si>
    <t xml:space="preserve">SUMINISTRO DE ELEMENTOS  CONSUMIBLES PARA IMPLEMENTACION DE PROTOCOLO DE BIOSEGURIDAD </t>
  </si>
  <si>
    <t xml:space="preserve">Alquiler de lavamanos portatil </t>
  </si>
  <si>
    <t>und/mes</t>
  </si>
  <si>
    <t>Amonio Cuaternario al 2% Quinta generacion</t>
  </si>
  <si>
    <t>litro/mes</t>
  </si>
  <si>
    <t>Alcohol Glicerinado</t>
  </si>
  <si>
    <t>gal/mes</t>
  </si>
  <si>
    <t>Alcohol Industrial (al 70%)</t>
  </si>
  <si>
    <t>Jabón liquido</t>
  </si>
  <si>
    <t xml:space="preserve">Tapabocas desechable </t>
  </si>
  <si>
    <t>Punto de hidratación bolsa de agua 360ml</t>
  </si>
  <si>
    <t>toalla de papel paquete x 150</t>
  </si>
  <si>
    <t xml:space="preserve">SUMINISTRO DE INSTRUMENTOS Y EQUIPOS PARA IMPLEMENTACION DE PROTOCOLO DE BIOSEGURIDAD </t>
  </si>
  <si>
    <t>Fumigadora Manual - Capacidad del tanque: 20 litros</t>
  </si>
  <si>
    <t xml:space="preserve">und </t>
  </si>
  <si>
    <t>Termómetro digital y/o infrarrojo para laboratorio</t>
  </si>
  <si>
    <t>Pendon informativo</t>
  </si>
  <si>
    <t xml:space="preserve"> NOTA: el contratista una vez finalizada la ejecución del contrato, deberá hacer entrega a la entidad de instrumentos y equipos para implementación de protocolo de bioseguridad correspondientes a Fumigadora Manual - Capacidad del tanque: 20 litros y Termómetro digital y/o infrarrojo para laboratorio.</t>
  </si>
  <si>
    <t xml:space="preserve">COSTO TOTAL SUMINISTRO </t>
  </si>
  <si>
    <t xml:space="preserve">COSTO TOTAL EJECUCIÓN DE OBRAS </t>
  </si>
  <si>
    <t xml:space="preserve">COSTO TOTAL PROYECTO </t>
  </si>
  <si>
    <t>Duración (meses)</t>
  </si>
  <si>
    <t xml:space="preserve">Cantidad de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</si>
</sst>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&quot;$&quot;\ #,##0.00_);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"/>
    <numFmt numFmtId="171" formatCode="_ &quot;$&quot;\ * #,##0_ ;_ &quot;$&quot;\ * \-#,##0_ ;_ &quot;$&quot;\ * &quot;-&quot;??_ ;_ @_ "/>
    <numFmt numFmtId="172" formatCode="0.000"/>
    <numFmt numFmtId="173" formatCode="_-[$$-240A]\ * #,##0.0_ ;_-[$$-240A]\ * \-#,##0.0\ ;_-[$$-240A]\ * &quot;-&quot;??_ ;_-@_ "/>
    <numFmt numFmtId="174" formatCode="_([$€]* #,##0.00_);_([$€]* \(#,##0.00\);_([$€]* &quot;-&quot;??_);_(@_)"/>
    <numFmt numFmtId="175" formatCode="_-[$$-240A]\ * #,##0_ ;_-[$$-240A]\ * \-#,##0\ ;_-[$$-240A]\ * &quot;-&quot;??_ ;_-@_ "/>
    <numFmt numFmtId="176" formatCode="_-[$$-240A]\ * #,##0.00_ ;_-[$$-240A]\ * \-#,##0.00\ ;_-[$$-240A]\ * &quot;-&quot;??_ ;_-@_ "/>
    <numFmt numFmtId="177" formatCode="_(&quot;$&quot;* #,##0.00_);_(&quot;$&quot;* \(#,##0.00\);_(&quot;$&quot;* &quot;-&quot;??_);_(@_)"/>
    <numFmt numFmtId="178" formatCode="0.0%"/>
    <numFmt numFmtId="179" formatCode="_-* #,##0\ _€_-;\-* #,##0\ _€_-;_-* &quot;-&quot;??\ _€_-;_-@_-"/>
    <numFmt numFmtId="180" formatCode="_(* #,##0_);_(* \(#,##0\);_(* &quot;-&quot;??_);_(@_)"/>
    <numFmt numFmtId="181" formatCode="#,##0.0"/>
    <numFmt numFmtId="182" formatCode="#,##0.000"/>
    <numFmt numFmtId="183" formatCode="0.000%"/>
    <numFmt numFmtId="184" formatCode="0.00_)"/>
    <numFmt numFmtId="185" formatCode="_-[$$-240A]\ * #,##0.00_-;\-[$$-240A]\ * #,##0.00_-;_-[$$-240A]\ * &quot;-&quot;??_-;_-@_-"/>
    <numFmt numFmtId="186" formatCode="_-[$$-240A]\ * #,##0.0000_-;\-[$$-240A]\ * #,##0.0000_-;_-[$$-240A]\ * &quot;-&quot;??_-;_-@_-"/>
    <numFmt numFmtId="187" formatCode="_-&quot;$&quot;* #,##0.00_-;\-&quot;$&quot;* #,##0.00_-;_-&quot;$&quot;* &quot;-&quot;??_-;_-@_-"/>
    <numFmt numFmtId="188" formatCode="_-&quot;$&quot;* #,##0_-;\-&quot;$&quot;* #,##0_-;_-&quot;$&quot;* &quot;-&quot;??_-;_-@_-"/>
    <numFmt numFmtId="189" formatCode="&quot;$&quot;\ #,##0.0"/>
    <numFmt numFmtId="190" formatCode="&quot;$&quot;\ #,##0.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u/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FA7D00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"/>
      <family val="2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color rgb="FFFF0000"/>
      <name val="Arial Narrow"/>
      <family val="2"/>
    </font>
    <font>
      <sz val="10"/>
      <color indexed="8"/>
      <name val="MS Sans Serif"/>
      <family val="2"/>
    </font>
    <font>
      <b/>
      <vertAlign val="superscript"/>
      <sz val="12"/>
      <name val="Arial Narrow"/>
      <family val="2"/>
    </font>
    <font>
      <sz val="9"/>
      <color indexed="81"/>
      <name val="Tahoma"/>
      <family val="2"/>
    </font>
    <font>
      <b/>
      <sz val="12"/>
      <color rgb="FFFF0000"/>
      <name val="Arial Narrow"/>
      <family val="2"/>
    </font>
    <font>
      <sz val="12"/>
      <name val="Agency FB"/>
      <family val="2"/>
    </font>
    <font>
      <sz val="12"/>
      <color theme="1"/>
      <name val="Agency FB"/>
      <family val="2"/>
    </font>
    <font>
      <b/>
      <sz val="12"/>
      <name val="Agency FB"/>
      <family val="2"/>
    </font>
    <font>
      <b/>
      <sz val="10"/>
      <name val="Agency FB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2"/>
      <color rgb="FFFF0000"/>
      <name val="Arial Narrow"/>
      <family val="2"/>
    </font>
    <font>
      <b/>
      <sz val="8.0500000000000007"/>
      <color indexed="8"/>
      <name val="Arial"/>
      <family val="2"/>
    </font>
    <font>
      <sz val="8.0500000000000007"/>
      <color indexed="8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2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170" fontId="2" fillId="0" borderId="0" applyFont="0" applyFill="0" applyBorder="0" applyAlignment="0" applyProtection="0"/>
    <xf numFmtId="0" fontId="6" fillId="0" borderId="0"/>
    <xf numFmtId="0" fontId="6" fillId="0" borderId="0"/>
    <xf numFmtId="170" fontId="2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0" fontId="14" fillId="3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9" fontId="2" fillId="0" borderId="0" applyFont="0" applyFill="0" applyBorder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21" fillId="0" borderId="9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" fillId="0" borderId="0"/>
    <xf numFmtId="187" fontId="1" fillId="0" borderId="0" applyFont="0" applyFill="0" applyBorder="0" applyAlignment="0" applyProtection="0"/>
  </cellStyleXfs>
  <cellXfs count="121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169" fontId="3" fillId="0" borderId="0" xfId="2" applyNumberFormat="1" applyFont="1" applyFill="1" applyAlignment="1">
      <alignment horizontal="center" vertical="center" wrapText="1"/>
    </xf>
    <xf numFmtId="169" fontId="3" fillId="0" borderId="0" xfId="2" applyNumberFormat="1" applyFont="1" applyAlignment="1">
      <alignment horizontal="center" vertical="center" wrapText="1"/>
    </xf>
    <xf numFmtId="0" fontId="2" fillId="0" borderId="0" xfId="1"/>
    <xf numFmtId="169" fontId="3" fillId="0" borderId="12" xfId="2" applyNumberFormat="1" applyFont="1" applyFill="1" applyBorder="1" applyAlignment="1">
      <alignment horizontal="center" vertical="center" wrapText="1"/>
    </xf>
    <xf numFmtId="169" fontId="5" fillId="0" borderId="14" xfId="2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173" fontId="5" fillId="0" borderId="26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4" fontId="3" fillId="0" borderId="19" xfId="1" applyNumberFormat="1" applyFont="1" applyFill="1" applyBorder="1" applyAlignment="1">
      <alignment vertical="center" wrapText="1"/>
    </xf>
    <xf numFmtId="4" fontId="3" fillId="0" borderId="20" xfId="1" applyNumberFormat="1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 wrapText="1"/>
    </xf>
    <xf numFmtId="173" fontId="3" fillId="0" borderId="14" xfId="1" applyNumberFormat="1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vertical="center" wrapText="1"/>
    </xf>
    <xf numFmtId="4" fontId="3" fillId="0" borderId="22" xfId="1" applyNumberFormat="1" applyFont="1" applyFill="1" applyBorder="1" applyAlignment="1">
      <alignment vertical="center" wrapText="1"/>
    </xf>
    <xf numFmtId="0" fontId="5" fillId="0" borderId="28" xfId="9" applyFont="1" applyFill="1" applyBorder="1" applyAlignment="1">
      <alignment horizontal="center" vertical="center" wrapText="1"/>
    </xf>
    <xf numFmtId="0" fontId="5" fillId="0" borderId="29" xfId="9" applyFont="1" applyFill="1" applyBorder="1" applyAlignment="1">
      <alignment horizontal="center" vertical="center" wrapText="1"/>
    </xf>
    <xf numFmtId="3" fontId="5" fillId="0" borderId="29" xfId="9" applyNumberFormat="1" applyFont="1" applyFill="1" applyBorder="1" applyAlignment="1">
      <alignment horizontal="right" vertical="center" wrapText="1"/>
    </xf>
    <xf numFmtId="173" fontId="5" fillId="0" borderId="29" xfId="9" applyNumberFormat="1" applyFont="1" applyFill="1" applyBorder="1" applyAlignment="1">
      <alignment horizontal="center" vertical="center" wrapText="1"/>
    </xf>
    <xf numFmtId="4" fontId="5" fillId="0" borderId="29" xfId="9" applyNumberFormat="1" applyFont="1" applyFill="1" applyBorder="1" applyAlignment="1">
      <alignment horizontal="center" vertical="center" wrapText="1"/>
    </xf>
    <xf numFmtId="4" fontId="5" fillId="0" borderId="30" xfId="9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12" xfId="1" applyFont="1" applyFill="1" applyBorder="1" applyAlignment="1">
      <alignment horizontal="center" vertical="center" wrapText="1"/>
    </xf>
    <xf numFmtId="0" fontId="22" fillId="0" borderId="0" xfId="1" applyFont="1"/>
    <xf numFmtId="0" fontId="17" fillId="0" borderId="0" xfId="1" applyFont="1" applyFill="1" applyBorder="1" applyAlignment="1">
      <alignment horizontal="center" vertical="center" wrapText="1"/>
    </xf>
    <xf numFmtId="169" fontId="17" fillId="0" borderId="0" xfId="2" applyNumberFormat="1" applyFont="1" applyFill="1" applyBorder="1" applyAlignment="1">
      <alignment horizontal="center" vertical="center" wrapText="1"/>
    </xf>
    <xf numFmtId="0" fontId="22" fillId="0" borderId="0" xfId="1" applyFont="1" applyFill="1"/>
    <xf numFmtId="0" fontId="5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justify" vertical="center" wrapText="1"/>
    </xf>
    <xf numFmtId="170" fontId="3" fillId="0" borderId="14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2" fontId="3" fillId="0" borderId="14" xfId="1" applyNumberFormat="1" applyFont="1" applyFill="1" applyBorder="1" applyAlignment="1">
      <alignment horizontal="center" vertical="center" wrapText="1"/>
    </xf>
    <xf numFmtId="170" fontId="5" fillId="0" borderId="14" xfId="1" applyNumberFormat="1" applyFont="1" applyBorder="1" applyAlignment="1">
      <alignment horizontal="center" vertical="center" wrapText="1"/>
    </xf>
    <xf numFmtId="171" fontId="3" fillId="0" borderId="14" xfId="2" applyNumberFormat="1" applyFont="1" applyFill="1" applyBorder="1" applyAlignment="1">
      <alignment horizontal="center" vertical="center"/>
    </xf>
    <xf numFmtId="169" fontId="3" fillId="0" borderId="14" xfId="2" applyNumberFormat="1" applyFont="1" applyFill="1" applyBorder="1" applyAlignment="1">
      <alignment horizontal="center" vertical="center" wrapText="1"/>
    </xf>
    <xf numFmtId="1" fontId="5" fillId="0" borderId="14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70" fontId="3" fillId="0" borderId="14" xfId="1" applyNumberFormat="1" applyFont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69" fontId="3" fillId="0" borderId="17" xfId="2" applyNumberFormat="1" applyFont="1" applyFill="1" applyBorder="1" applyAlignment="1">
      <alignment horizontal="center" vertical="center" wrapText="1"/>
    </xf>
    <xf numFmtId="170" fontId="5" fillId="0" borderId="14" xfId="6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3" fontId="3" fillId="0" borderId="17" xfId="1" applyNumberFormat="1" applyFont="1" applyFill="1" applyBorder="1" applyAlignment="1">
      <alignment vertical="center" wrapText="1"/>
    </xf>
    <xf numFmtId="178" fontId="5" fillId="0" borderId="12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25" xfId="1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/>
    </xf>
    <xf numFmtId="0" fontId="26" fillId="0" borderId="26" xfId="0" applyFont="1" applyFill="1" applyBorder="1"/>
    <xf numFmtId="4" fontId="26" fillId="0" borderId="26" xfId="0" applyNumberFormat="1" applyFont="1" applyFill="1" applyBorder="1" applyAlignment="1">
      <alignment vertical="center"/>
    </xf>
    <xf numFmtId="0" fontId="3" fillId="0" borderId="21" xfId="1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11" applyFont="1" applyFill="1" applyBorder="1" applyAlignment="1">
      <alignment horizontal="center" vertical="center" wrapText="1"/>
    </xf>
    <xf numFmtId="4" fontId="3" fillId="0" borderId="14" xfId="11" applyNumberFormat="1" applyFont="1" applyFill="1" applyBorder="1" applyAlignment="1">
      <alignment vertical="center" wrapText="1"/>
    </xf>
    <xf numFmtId="4" fontId="3" fillId="0" borderId="22" xfId="11" applyNumberFormat="1" applyFont="1" applyFill="1" applyBorder="1" applyAlignment="1">
      <alignment vertical="center" wrapText="1"/>
    </xf>
    <xf numFmtId="173" fontId="3" fillId="0" borderId="14" xfId="0" applyNumberFormat="1" applyFont="1" applyFill="1" applyBorder="1" applyAlignment="1">
      <alignment vertical="center" wrapText="1"/>
    </xf>
    <xf numFmtId="173" fontId="5" fillId="0" borderId="29" xfId="0" applyNumberFormat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173" fontId="5" fillId="0" borderId="46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justify" vertical="center" wrapText="1"/>
    </xf>
    <xf numFmtId="0" fontId="3" fillId="0" borderId="14" xfId="11" applyFont="1" applyFill="1" applyBorder="1" applyAlignment="1">
      <alignment horizontal="justify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165" fontId="3" fillId="0" borderId="0" xfId="218" applyFont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31" fillId="0" borderId="47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173" fontId="31" fillId="0" borderId="26" xfId="1" applyNumberFormat="1" applyFont="1" applyFill="1" applyBorder="1" applyAlignment="1">
      <alignment horizontal="center" vertical="center" wrapText="1"/>
    </xf>
    <xf numFmtId="0" fontId="31" fillId="0" borderId="48" xfId="1" applyFont="1" applyFill="1" applyBorder="1" applyAlignment="1">
      <alignment horizontal="center" vertical="center" wrapText="1"/>
    </xf>
    <xf numFmtId="170" fontId="3" fillId="0" borderId="14" xfId="6" applyNumberFormat="1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justify" vertical="center" wrapText="1"/>
    </xf>
    <xf numFmtId="170" fontId="5" fillId="0" borderId="14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5" fillId="0" borderId="14" xfId="1" applyFont="1" applyFill="1" applyBorder="1" applyAlignment="1">
      <alignment horizontal="justify" vertical="center" wrapText="1"/>
    </xf>
    <xf numFmtId="3" fontId="32" fillId="35" borderId="14" xfId="222" applyNumberFormat="1" applyFont="1" applyFill="1" applyBorder="1" applyAlignment="1">
      <alignment horizontal="center" vertical="center"/>
    </xf>
    <xf numFmtId="0" fontId="2" fillId="0" borderId="0" xfId="110"/>
    <xf numFmtId="0" fontId="33" fillId="0" borderId="0" xfId="110" applyFont="1"/>
    <xf numFmtId="0" fontId="35" fillId="0" borderId="53" xfId="222" applyFont="1" applyFill="1" applyBorder="1" applyAlignment="1">
      <alignment vertical="center" wrapText="1"/>
    </xf>
    <xf numFmtId="0" fontId="35" fillId="0" borderId="53" xfId="222" applyFont="1" applyFill="1" applyBorder="1" applyAlignment="1">
      <alignment horizontal="center" vertical="center" wrapText="1"/>
    </xf>
    <xf numFmtId="0" fontId="32" fillId="0" borderId="59" xfId="222" applyFont="1" applyFill="1" applyBorder="1" applyAlignment="1">
      <alignment horizontal="center" vertical="center"/>
    </xf>
    <xf numFmtId="3" fontId="32" fillId="36" borderId="60" xfId="222" applyNumberFormat="1" applyFont="1" applyFill="1" applyBorder="1" applyAlignment="1">
      <alignment horizontal="center" vertical="center"/>
    </xf>
    <xf numFmtId="3" fontId="32" fillId="0" borderId="60" xfId="222" applyNumberFormat="1" applyFont="1" applyFill="1" applyBorder="1" applyAlignment="1">
      <alignment horizontal="center" vertical="center"/>
    </xf>
    <xf numFmtId="3" fontId="32" fillId="0" borderId="59" xfId="222" applyNumberFormat="1" applyFont="1" applyFill="1" applyBorder="1" applyAlignment="1">
      <alignment horizontal="center" vertical="center"/>
    </xf>
    <xf numFmtId="10" fontId="32" fillId="0" borderId="59" xfId="206" applyNumberFormat="1" applyFont="1" applyFill="1" applyBorder="1" applyAlignment="1">
      <alignment horizontal="center" vertical="center"/>
    </xf>
    <xf numFmtId="9" fontId="32" fillId="0" borderId="59" xfId="206" applyNumberFormat="1" applyFont="1" applyFill="1" applyBorder="1" applyAlignment="1">
      <alignment horizontal="center" vertical="center"/>
    </xf>
    <xf numFmtId="3" fontId="32" fillId="0" borderId="63" xfId="222" applyNumberFormat="1" applyFont="1" applyFill="1" applyBorder="1" applyAlignment="1">
      <alignment horizontal="center" vertical="center"/>
    </xf>
    <xf numFmtId="0" fontId="32" fillId="0" borderId="53" xfId="222" applyFont="1" applyFill="1" applyBorder="1" applyAlignment="1">
      <alignment horizontal="center" vertical="center"/>
    </xf>
    <xf numFmtId="3" fontId="32" fillId="0" borderId="53" xfId="222" applyNumberFormat="1" applyFont="1" applyFill="1" applyBorder="1" applyAlignment="1">
      <alignment horizontal="center" vertical="center"/>
    </xf>
    <xf numFmtId="183" fontId="32" fillId="0" borderId="59" xfId="206" applyNumberFormat="1" applyFont="1" applyFill="1" applyBorder="1" applyAlignment="1">
      <alignment horizontal="center" vertical="center"/>
    </xf>
    <xf numFmtId="3" fontId="34" fillId="0" borderId="53" xfId="222" applyNumberFormat="1" applyFont="1" applyFill="1" applyBorder="1" applyAlignment="1">
      <alignment horizontal="center" vertical="center"/>
    </xf>
    <xf numFmtId="0" fontId="36" fillId="0" borderId="0" xfId="223" applyFont="1"/>
    <xf numFmtId="0" fontId="37" fillId="0" borderId="0" xfId="223" applyFont="1" applyBorder="1" applyAlignment="1">
      <alignment vertical="center" wrapText="1"/>
    </xf>
    <xf numFmtId="0" fontId="37" fillId="0" borderId="0" xfId="223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37" borderId="14" xfId="1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37" fillId="38" borderId="17" xfId="223" applyFont="1" applyFill="1" applyBorder="1" applyAlignment="1">
      <alignment horizontal="center" vertical="center"/>
    </xf>
    <xf numFmtId="0" fontId="37" fillId="38" borderId="14" xfId="223" applyFont="1" applyFill="1" applyBorder="1" applyAlignment="1">
      <alignment horizontal="center" vertical="center"/>
    </xf>
    <xf numFmtId="0" fontId="36" fillId="0" borderId="14" xfId="223" applyFont="1" applyBorder="1" applyAlignment="1">
      <alignment horizontal="center" vertical="center"/>
    </xf>
    <xf numFmtId="2" fontId="36" fillId="0" borderId="13" xfId="223" applyNumberFormat="1" applyFont="1" applyBorder="1" applyAlignment="1">
      <alignment horizontal="center" vertical="center"/>
    </xf>
    <xf numFmtId="0" fontId="36" fillId="0" borderId="13" xfId="223" applyFont="1" applyBorder="1" applyAlignment="1">
      <alignment horizontal="center" vertical="center"/>
    </xf>
    <xf numFmtId="2" fontId="37" fillId="39" borderId="13" xfId="223" applyNumberFormat="1" applyFont="1" applyFill="1" applyBorder="1" applyAlignment="1">
      <alignment horizontal="center" vertical="center"/>
    </xf>
    <xf numFmtId="0" fontId="24" fillId="38" borderId="14" xfId="1" applyFont="1" applyFill="1" applyBorder="1" applyAlignment="1">
      <alignment horizontal="center" vertical="center" wrapText="1"/>
    </xf>
    <xf numFmtId="2" fontId="36" fillId="0" borderId="14" xfId="223" applyNumberFormat="1" applyFont="1" applyBorder="1" applyAlignment="1">
      <alignment horizontal="center" vertical="center"/>
    </xf>
    <xf numFmtId="2" fontId="37" fillId="39" borderId="14" xfId="223" applyNumberFormat="1" applyFont="1" applyFill="1" applyBorder="1" applyAlignment="1">
      <alignment horizontal="center" vertical="center"/>
    </xf>
    <xf numFmtId="2" fontId="37" fillId="0" borderId="0" xfId="223" applyNumberFormat="1" applyFont="1" applyFill="1" applyBorder="1" applyAlignment="1">
      <alignment horizontal="center" vertical="center"/>
    </xf>
    <xf numFmtId="0" fontId="37" fillId="38" borderId="14" xfId="223" applyFont="1" applyFill="1" applyBorder="1" applyAlignment="1">
      <alignment horizontal="center" vertical="center" wrapText="1"/>
    </xf>
    <xf numFmtId="1" fontId="37" fillId="39" borderId="14" xfId="22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0" fontId="37" fillId="39" borderId="14" xfId="223" applyNumberFormat="1" applyFont="1" applyFill="1" applyBorder="1" applyAlignment="1">
      <alignment horizontal="center" vertical="center"/>
    </xf>
    <xf numFmtId="170" fontId="36" fillId="0" borderId="14" xfId="223" applyNumberFormat="1" applyFont="1" applyBorder="1" applyAlignment="1">
      <alignment horizontal="center" vertical="center"/>
    </xf>
    <xf numFmtId="0" fontId="37" fillId="0" borderId="14" xfId="223" applyFont="1" applyBorder="1" applyAlignment="1">
      <alignment horizontal="center" vertical="center"/>
    </xf>
    <xf numFmtId="0" fontId="36" fillId="0" borderId="14" xfId="223" applyFont="1" applyBorder="1" applyAlignment="1">
      <alignment horizontal="center"/>
    </xf>
    <xf numFmtId="0" fontId="37" fillId="0" borderId="0" xfId="223" applyFont="1" applyFill="1" applyBorder="1" applyAlignment="1">
      <alignment horizontal="center" vertical="center"/>
    </xf>
    <xf numFmtId="0" fontId="36" fillId="0" borderId="0" xfId="223" applyFont="1" applyFill="1" applyBorder="1" applyAlignment="1">
      <alignment horizontal="center" vertical="center"/>
    </xf>
    <xf numFmtId="2" fontId="36" fillId="0" borderId="0" xfId="223" applyNumberFormat="1" applyFont="1" applyFill="1" applyBorder="1" applyAlignment="1">
      <alignment horizontal="center" vertical="center"/>
    </xf>
    <xf numFmtId="0" fontId="37" fillId="0" borderId="0" xfId="223" applyFont="1" applyFill="1" applyBorder="1" applyAlignment="1">
      <alignment vertical="center"/>
    </xf>
    <xf numFmtId="0" fontId="37" fillId="0" borderId="0" xfId="223" applyFont="1" applyFill="1" applyAlignment="1"/>
    <xf numFmtId="0" fontId="37" fillId="38" borderId="17" xfId="223" applyFont="1" applyFill="1" applyBorder="1" applyAlignment="1">
      <alignment horizontal="center" vertical="center"/>
    </xf>
    <xf numFmtId="2" fontId="37" fillId="0" borderId="14" xfId="223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37" fillId="38" borderId="17" xfId="223" applyFont="1" applyFill="1" applyBorder="1" applyAlignment="1">
      <alignment horizontal="center" vertical="center"/>
    </xf>
    <xf numFmtId="0" fontId="37" fillId="0" borderId="14" xfId="223" applyFont="1" applyBorder="1" applyAlignment="1">
      <alignment horizontal="center" vertical="center"/>
    </xf>
    <xf numFmtId="0" fontId="37" fillId="38" borderId="14" xfId="223" applyFont="1" applyFill="1" applyBorder="1" applyAlignment="1">
      <alignment horizontal="center" vertical="center"/>
    </xf>
    <xf numFmtId="2" fontId="37" fillId="0" borderId="14" xfId="223" applyNumberFormat="1" applyFont="1" applyBorder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37" fillId="38" borderId="17" xfId="223" applyFont="1" applyFill="1" applyBorder="1" applyAlignment="1">
      <alignment horizontal="center" vertical="center"/>
    </xf>
    <xf numFmtId="0" fontId="37" fillId="38" borderId="14" xfId="223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vertical="center" wrapText="1"/>
    </xf>
    <xf numFmtId="0" fontId="24" fillId="38" borderId="14" xfId="11" applyFont="1" applyFill="1" applyBorder="1" applyAlignment="1">
      <alignment horizontal="center" vertical="center" wrapText="1"/>
    </xf>
    <xf numFmtId="0" fontId="24" fillId="38" borderId="17" xfId="11" applyFont="1" applyFill="1" applyBorder="1" applyAlignment="1">
      <alignment horizontal="center" vertical="center" wrapText="1"/>
    </xf>
    <xf numFmtId="2" fontId="38" fillId="0" borderId="14" xfId="11" applyNumberFormat="1" applyFont="1" applyFill="1" applyBorder="1" applyAlignment="1">
      <alignment horizontal="center"/>
    </xf>
    <xf numFmtId="2" fontId="38" fillId="0" borderId="14" xfId="11" applyNumberFormat="1" applyFont="1" applyFill="1" applyBorder="1" applyAlignment="1">
      <alignment horizontal="center" vertical="center"/>
    </xf>
    <xf numFmtId="2" fontId="38" fillId="0" borderId="14" xfId="11" applyNumberFormat="1" applyFont="1" applyBorder="1" applyAlignment="1">
      <alignment horizontal="center" vertical="center"/>
    </xf>
    <xf numFmtId="0" fontId="24" fillId="0" borderId="14" xfId="11" applyFont="1" applyBorder="1" applyAlignment="1">
      <alignment horizontal="center" vertical="center"/>
    </xf>
    <xf numFmtId="2" fontId="24" fillId="0" borderId="14" xfId="11" applyNumberFormat="1" applyFont="1" applyBorder="1" applyAlignment="1">
      <alignment horizontal="center" vertical="center"/>
    </xf>
    <xf numFmtId="0" fontId="38" fillId="0" borderId="14" xfId="11" applyFont="1" applyBorder="1" applyAlignment="1">
      <alignment horizontal="center"/>
    </xf>
    <xf numFmtId="2" fontId="38" fillId="0" borderId="14" xfId="11" applyNumberFormat="1" applyFont="1" applyBorder="1" applyAlignment="1">
      <alignment horizontal="center"/>
    </xf>
    <xf numFmtId="0" fontId="38" fillId="0" borderId="14" xfId="11" applyFont="1" applyBorder="1" applyAlignment="1">
      <alignment horizontal="center" vertical="center"/>
    </xf>
    <xf numFmtId="0" fontId="38" fillId="0" borderId="14" xfId="11" applyFont="1" applyBorder="1" applyAlignment="1">
      <alignment vertical="center"/>
    </xf>
    <xf numFmtId="2" fontId="38" fillId="0" borderId="0" xfId="11" applyNumberFormat="1" applyFont="1" applyBorder="1" applyAlignment="1">
      <alignment horizontal="center"/>
    </xf>
    <xf numFmtId="0" fontId="38" fillId="0" borderId="0" xfId="11" applyFont="1" applyAlignment="1">
      <alignment horizontal="center" vertical="center"/>
    </xf>
    <xf numFmtId="9" fontId="38" fillId="0" borderId="14" xfId="11" applyNumberFormat="1" applyFont="1" applyBorder="1" applyAlignment="1">
      <alignment horizontal="center" vertical="center"/>
    </xf>
    <xf numFmtId="0" fontId="38" fillId="0" borderId="0" xfId="11" applyFont="1" applyAlignment="1">
      <alignment vertical="center"/>
    </xf>
    <xf numFmtId="39" fontId="38" fillId="0" borderId="0" xfId="11" applyNumberFormat="1" applyFont="1" applyAlignment="1">
      <alignment horizontal="center" vertical="center"/>
    </xf>
    <xf numFmtId="1" fontId="38" fillId="0" borderId="14" xfId="11" applyNumberFormat="1" applyFont="1" applyBorder="1" applyAlignment="1">
      <alignment horizontal="center" vertical="center"/>
    </xf>
    <xf numFmtId="2" fontId="38" fillId="0" borderId="0" xfId="11" applyNumberFormat="1" applyFont="1" applyBorder="1" applyAlignment="1">
      <alignment horizontal="center" vertical="center"/>
    </xf>
    <xf numFmtId="1" fontId="38" fillId="0" borderId="0" xfId="11" applyNumberFormat="1" applyFont="1" applyBorder="1" applyAlignment="1">
      <alignment horizontal="center" vertical="center"/>
    </xf>
    <xf numFmtId="2" fontId="24" fillId="0" borderId="0" xfId="11" applyNumberFormat="1" applyFont="1" applyBorder="1" applyAlignment="1">
      <alignment vertical="center"/>
    </xf>
    <xf numFmtId="0" fontId="39" fillId="0" borderId="14" xfId="0" applyFont="1" applyFill="1" applyBorder="1" applyAlignment="1" applyProtection="1">
      <alignment horizontal="center" vertical="center"/>
    </xf>
    <xf numFmtId="184" fontId="39" fillId="0" borderId="14" xfId="0" applyNumberFormat="1" applyFont="1" applyFill="1" applyBorder="1" applyAlignment="1" applyProtection="1">
      <alignment horizontal="center" vertical="center"/>
    </xf>
    <xf numFmtId="0" fontId="40" fillId="0" borderId="14" xfId="11" applyFont="1" applyFill="1" applyBorder="1" applyAlignment="1">
      <alignment horizontal="center"/>
    </xf>
    <xf numFmtId="170" fontId="24" fillId="0" borderId="14" xfId="11" applyNumberFormat="1" applyFont="1" applyBorder="1" applyAlignment="1">
      <alignment horizontal="center" vertical="center"/>
    </xf>
    <xf numFmtId="39" fontId="39" fillId="0" borderId="14" xfId="0" applyNumberFormat="1" applyFont="1" applyFill="1" applyBorder="1" applyAlignment="1" applyProtection="1">
      <alignment horizontal="center" vertical="center"/>
    </xf>
    <xf numFmtId="2" fontId="38" fillId="34" borderId="14" xfId="11" applyNumberFormat="1" applyFont="1" applyFill="1" applyBorder="1" applyAlignment="1">
      <alignment horizontal="center" vertical="center"/>
    </xf>
    <xf numFmtId="2" fontId="24" fillId="34" borderId="14" xfId="11" applyNumberFormat="1" applyFont="1" applyFill="1" applyBorder="1" applyAlignment="1">
      <alignment horizontal="center" vertical="center"/>
    </xf>
    <xf numFmtId="0" fontId="37" fillId="38" borderId="17" xfId="223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/>
    </xf>
    <xf numFmtId="184" fontId="36" fillId="0" borderId="14" xfId="223" applyNumberFormat="1" applyFont="1" applyBorder="1" applyAlignment="1">
      <alignment horizontal="center"/>
    </xf>
    <xf numFmtId="0" fontId="37" fillId="38" borderId="14" xfId="223" applyFont="1" applyFill="1" applyBorder="1" applyAlignment="1">
      <alignment horizontal="center" vertical="center" wrapText="1"/>
    </xf>
    <xf numFmtId="0" fontId="36" fillId="0" borderId="0" xfId="223" applyFont="1" applyBorder="1" applyAlignment="1">
      <alignment horizontal="left" vertical="center"/>
    </xf>
    <xf numFmtId="0" fontId="37" fillId="0" borderId="0" xfId="223" applyFont="1" applyFill="1" applyBorder="1" applyAlignment="1">
      <alignment horizontal="center" vertical="center" wrapText="1"/>
    </xf>
    <xf numFmtId="0" fontId="37" fillId="38" borderId="14" xfId="223" applyFont="1" applyFill="1" applyBorder="1" applyAlignment="1">
      <alignment horizontal="center" vertical="center" wrapText="1"/>
    </xf>
    <xf numFmtId="0" fontId="37" fillId="38" borderId="14" xfId="223" applyFont="1" applyFill="1" applyBorder="1" applyAlignment="1">
      <alignment horizontal="center" vertical="center"/>
    </xf>
    <xf numFmtId="0" fontId="36" fillId="0" borderId="14" xfId="223" applyFont="1" applyBorder="1" applyAlignment="1">
      <alignment horizontal="center" vertical="center"/>
    </xf>
    <xf numFmtId="0" fontId="0" fillId="0" borderId="0" xfId="0" applyBorder="1"/>
    <xf numFmtId="0" fontId="36" fillId="0" borderId="0" xfId="223" applyFont="1" applyBorder="1" applyAlignment="1">
      <alignment horizontal="center" vertical="center"/>
    </xf>
    <xf numFmtId="0" fontId="24" fillId="0" borderId="0" xfId="1" applyFont="1" applyFill="1" applyBorder="1" applyAlignment="1">
      <alignment vertical="center" wrapText="1"/>
    </xf>
    <xf numFmtId="172" fontId="36" fillId="0" borderId="11" xfId="223" applyNumberFormat="1" applyFont="1" applyBorder="1" applyAlignment="1">
      <alignment vertical="center"/>
    </xf>
    <xf numFmtId="172" fontId="36" fillId="0" borderId="13" xfId="223" applyNumberFormat="1" applyFont="1" applyBorder="1" applyAlignment="1">
      <alignment vertical="center"/>
    </xf>
    <xf numFmtId="0" fontId="37" fillId="38" borderId="14" xfId="223" applyFont="1" applyFill="1" applyBorder="1" applyAlignment="1">
      <alignment horizontal="center" vertical="center"/>
    </xf>
    <xf numFmtId="0" fontId="24" fillId="38" borderId="14" xfId="11" applyFont="1" applyFill="1" applyBorder="1" applyAlignment="1">
      <alignment horizontal="center" vertical="center" wrapText="1"/>
    </xf>
    <xf numFmtId="0" fontId="36" fillId="0" borderId="14" xfId="223" applyFont="1" applyBorder="1" applyAlignment="1">
      <alignment horizontal="center" vertical="center"/>
    </xf>
    <xf numFmtId="0" fontId="36" fillId="0" borderId="17" xfId="223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37" fillId="39" borderId="14" xfId="213" applyFont="1" applyFill="1" applyBorder="1" applyAlignment="1">
      <alignment horizontal="center" vertical="center"/>
    </xf>
    <xf numFmtId="0" fontId="37" fillId="0" borderId="0" xfId="223" applyFont="1" applyBorder="1" applyAlignment="1">
      <alignment vertical="center"/>
    </xf>
    <xf numFmtId="3" fontId="38" fillId="37" borderId="14" xfId="0" applyNumberFormat="1" applyFont="1" applyFill="1" applyBorder="1" applyAlignment="1">
      <alignment horizontal="center" vertical="center" wrapText="1"/>
    </xf>
    <xf numFmtId="0" fontId="24" fillId="38" borderId="14" xfId="1" applyFont="1" applyFill="1" applyBorder="1" applyAlignment="1">
      <alignment horizontal="center" vertical="center" wrapText="1"/>
    </xf>
    <xf numFmtId="2" fontId="37" fillId="0" borderId="14" xfId="0" applyNumberFormat="1" applyFont="1" applyBorder="1" applyAlignment="1">
      <alignment horizontal="center" vertical="center"/>
    </xf>
    <xf numFmtId="2" fontId="36" fillId="0" borderId="14" xfId="223" applyNumberFormat="1" applyFont="1" applyBorder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173" fontId="3" fillId="0" borderId="26" xfId="4" applyNumberFormat="1" applyFont="1" applyFill="1" applyBorder="1" applyAlignment="1">
      <alignment vertical="center"/>
    </xf>
    <xf numFmtId="173" fontId="3" fillId="0" borderId="24" xfId="4" applyNumberFormat="1" applyFont="1" applyFill="1" applyBorder="1" applyAlignment="1">
      <alignment vertical="center"/>
    </xf>
    <xf numFmtId="173" fontId="5" fillId="0" borderId="29" xfId="4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7" fillId="0" borderId="14" xfId="1" applyNumberFormat="1" applyFont="1" applyFill="1" applyBorder="1" applyAlignment="1">
      <alignment vertical="center" wrapText="1"/>
    </xf>
    <xf numFmtId="4" fontId="17" fillId="0" borderId="22" xfId="1" applyNumberFormat="1" applyFont="1" applyFill="1" applyBorder="1" applyAlignment="1">
      <alignment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left" vertical="center" wrapText="1"/>
    </xf>
    <xf numFmtId="0" fontId="17" fillId="0" borderId="14" xfId="1" applyFont="1" applyFill="1" applyBorder="1" applyAlignment="1">
      <alignment horizontal="center" vertical="center" wrapText="1"/>
    </xf>
    <xf numFmtId="173" fontId="17" fillId="0" borderId="14" xfId="1" applyNumberFormat="1" applyFont="1" applyFill="1" applyBorder="1" applyAlignment="1">
      <alignment vertical="center" wrapText="1"/>
    </xf>
    <xf numFmtId="0" fontId="17" fillId="0" borderId="14" xfId="1" applyFont="1" applyFill="1" applyBorder="1" applyAlignment="1">
      <alignment vertical="center" wrapText="1"/>
    </xf>
    <xf numFmtId="0" fontId="17" fillId="0" borderId="21" xfId="1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173" fontId="17" fillId="0" borderId="0" xfId="1" applyNumberFormat="1" applyFont="1" applyFill="1" applyAlignment="1">
      <alignment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7" fillId="0" borderId="14" xfId="11" applyFont="1" applyFill="1" applyBorder="1" applyAlignment="1">
      <alignment horizontal="center" vertical="center" wrapText="1"/>
    </xf>
    <xf numFmtId="4" fontId="17" fillId="0" borderId="14" xfId="11" applyNumberFormat="1" applyFont="1" applyFill="1" applyBorder="1" applyAlignment="1">
      <alignment vertical="center" wrapText="1"/>
    </xf>
    <xf numFmtId="4" fontId="17" fillId="0" borderId="22" xfId="11" applyNumberFormat="1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4" fontId="17" fillId="0" borderId="2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vertical="center"/>
    </xf>
    <xf numFmtId="0" fontId="31" fillId="0" borderId="0" xfId="9" applyFont="1" applyFill="1" applyBorder="1" applyAlignment="1">
      <alignment horizontal="center" vertical="center" wrapText="1"/>
    </xf>
    <xf numFmtId="3" fontId="31" fillId="0" borderId="0" xfId="9" applyNumberFormat="1" applyFont="1" applyFill="1" applyBorder="1" applyAlignment="1">
      <alignment horizontal="right" vertical="center" wrapText="1"/>
    </xf>
    <xf numFmtId="172" fontId="31" fillId="0" borderId="0" xfId="9" applyNumberFormat="1" applyFont="1" applyFill="1" applyBorder="1" applyAlignment="1">
      <alignment horizontal="center" vertical="center" wrapText="1"/>
    </xf>
    <xf numFmtId="173" fontId="31" fillId="0" borderId="0" xfId="9" applyNumberFormat="1" applyFont="1" applyFill="1" applyBorder="1" applyAlignment="1">
      <alignment horizontal="center" vertical="center" wrapText="1"/>
    </xf>
    <xf numFmtId="4" fontId="31" fillId="0" borderId="0" xfId="9" applyNumberFormat="1" applyFont="1" applyFill="1" applyBorder="1" applyAlignment="1">
      <alignment horizontal="center" vertical="center" wrapText="1"/>
    </xf>
    <xf numFmtId="173" fontId="17" fillId="0" borderId="26" xfId="0" applyNumberFormat="1" applyFont="1" applyFill="1" applyBorder="1" applyAlignment="1">
      <alignment vertical="center"/>
    </xf>
    <xf numFmtId="0" fontId="17" fillId="0" borderId="23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horizontal="center" vertical="center" wrapText="1"/>
    </xf>
    <xf numFmtId="173" fontId="17" fillId="0" borderId="24" xfId="0" applyNumberFormat="1" applyFont="1" applyFill="1" applyBorder="1" applyAlignment="1">
      <alignment vertical="center"/>
    </xf>
    <xf numFmtId="173" fontId="17" fillId="0" borderId="24" xfId="1" applyNumberFormat="1" applyFont="1" applyFill="1" applyBorder="1" applyAlignment="1">
      <alignment vertical="center" wrapText="1"/>
    </xf>
    <xf numFmtId="4" fontId="17" fillId="0" borderId="24" xfId="1" applyNumberFormat="1" applyFont="1" applyFill="1" applyBorder="1" applyAlignment="1">
      <alignment vertical="center" wrapText="1"/>
    </xf>
    <xf numFmtId="4" fontId="17" fillId="0" borderId="25" xfId="1" applyNumberFormat="1" applyFont="1" applyFill="1" applyBorder="1" applyAlignment="1">
      <alignment vertical="center" wrapText="1"/>
    </xf>
    <xf numFmtId="0" fontId="31" fillId="0" borderId="26" xfId="11" applyFont="1" applyFill="1" applyBorder="1" applyAlignment="1">
      <alignment horizontal="center" vertical="center" wrapText="1"/>
    </xf>
    <xf numFmtId="173" fontId="31" fillId="0" borderId="26" xfId="11" applyNumberFormat="1" applyFont="1" applyFill="1" applyBorder="1" applyAlignment="1">
      <alignment horizontal="center" vertical="center" wrapText="1"/>
    </xf>
    <xf numFmtId="0" fontId="31" fillId="0" borderId="26" xfId="106" applyFont="1" applyFill="1" applyBorder="1" applyAlignment="1">
      <alignment horizontal="center" vertical="center"/>
    </xf>
    <xf numFmtId="0" fontId="31" fillId="0" borderId="26" xfId="106" applyFont="1" applyFill="1" applyBorder="1" applyAlignment="1">
      <alignment horizontal="center" vertical="center" wrapText="1"/>
    </xf>
    <xf numFmtId="173" fontId="31" fillId="0" borderId="26" xfId="106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173" fontId="17" fillId="0" borderId="0" xfId="0" applyNumberFormat="1" applyFont="1" applyFill="1" applyAlignment="1">
      <alignment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65" fontId="44" fillId="0" borderId="14" xfId="218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9" fontId="5" fillId="0" borderId="29" xfId="216" applyNumberFormat="1" applyFont="1" applyFill="1" applyBorder="1" applyAlignment="1">
      <alignment horizontal="right" vertical="center" wrapText="1"/>
    </xf>
    <xf numFmtId="173" fontId="3" fillId="0" borderId="26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wrapText="1"/>
    </xf>
    <xf numFmtId="173" fontId="3" fillId="0" borderId="24" xfId="1" applyNumberFormat="1" applyFont="1" applyFill="1" applyBorder="1" applyAlignment="1">
      <alignment vertical="center" wrapText="1"/>
    </xf>
    <xf numFmtId="4" fontId="3" fillId="0" borderId="24" xfId="1" applyNumberFormat="1" applyFont="1" applyFill="1" applyBorder="1" applyAlignment="1">
      <alignment vertical="center" wrapText="1"/>
    </xf>
    <xf numFmtId="4" fontId="3" fillId="0" borderId="25" xfId="1" applyNumberFormat="1" applyFont="1" applyFill="1" applyBorder="1" applyAlignment="1">
      <alignment vertical="center" wrapText="1"/>
    </xf>
    <xf numFmtId="0" fontId="3" fillId="0" borderId="14" xfId="12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4" fontId="5" fillId="0" borderId="30" xfId="1" applyNumberFormat="1" applyFont="1" applyFill="1" applyBorder="1" applyAlignment="1">
      <alignment horizontal="center" vertical="center" wrapText="1"/>
    </xf>
    <xf numFmtId="173" fontId="3" fillId="0" borderId="14" xfId="11" applyNumberFormat="1" applyFont="1" applyFill="1" applyBorder="1" applyAlignment="1">
      <alignment vertical="center" wrapText="1"/>
    </xf>
    <xf numFmtId="0" fontId="46" fillId="0" borderId="0" xfId="0" applyFont="1" applyFill="1"/>
    <xf numFmtId="0" fontId="5" fillId="0" borderId="30" xfId="0" applyFont="1" applyFill="1" applyBorder="1" applyAlignment="1">
      <alignment horizontal="center" vertical="center" wrapText="1"/>
    </xf>
    <xf numFmtId="0" fontId="3" fillId="0" borderId="14" xfId="11" applyFont="1" applyFill="1" applyBorder="1" applyAlignment="1">
      <alignment horizontal="left" vertical="center" wrapText="1"/>
    </xf>
    <xf numFmtId="0" fontId="3" fillId="0" borderId="27" xfId="106" applyFont="1" applyFill="1" applyBorder="1" applyAlignment="1">
      <alignment horizontal="center" vertical="center" wrapText="1"/>
    </xf>
    <xf numFmtId="0" fontId="3" fillId="0" borderId="17" xfId="106" applyFont="1" applyFill="1" applyBorder="1" applyAlignment="1">
      <alignment vertical="center" wrapText="1"/>
    </xf>
    <xf numFmtId="0" fontId="3" fillId="0" borderId="17" xfId="106" applyFont="1" applyFill="1" applyBorder="1" applyAlignment="1">
      <alignment horizontal="center" vertical="center" wrapText="1"/>
    </xf>
    <xf numFmtId="175" fontId="3" fillId="0" borderId="14" xfId="106" applyNumberFormat="1" applyFont="1" applyFill="1" applyBorder="1" applyAlignment="1">
      <alignment vertical="center" wrapText="1"/>
    </xf>
    <xf numFmtId="4" fontId="3" fillId="0" borderId="14" xfId="106" applyNumberFormat="1" applyFont="1" applyFill="1" applyBorder="1" applyAlignment="1">
      <alignment vertical="center"/>
    </xf>
    <xf numFmtId="4" fontId="3" fillId="0" borderId="22" xfId="106" applyNumberFormat="1" applyFont="1" applyFill="1" applyBorder="1" applyAlignment="1">
      <alignment vertical="center" wrapText="1"/>
    </xf>
    <xf numFmtId="0" fontId="3" fillId="0" borderId="21" xfId="106" applyFont="1" applyFill="1" applyBorder="1" applyAlignment="1">
      <alignment horizontal="center" vertical="center" wrapText="1"/>
    </xf>
    <xf numFmtId="0" fontId="3" fillId="0" borderId="14" xfId="106" applyFont="1" applyFill="1" applyBorder="1" applyAlignment="1">
      <alignment vertical="center" wrapText="1"/>
    </xf>
    <xf numFmtId="0" fontId="3" fillId="0" borderId="14" xfId="106" applyFont="1" applyFill="1" applyBorder="1" applyAlignment="1">
      <alignment horizontal="center" vertical="center" wrapText="1"/>
    </xf>
    <xf numFmtId="3" fontId="5" fillId="0" borderId="29" xfId="76" applyNumberFormat="1" applyFont="1" applyFill="1" applyBorder="1" applyAlignment="1">
      <alignment horizontal="center" vertical="center" wrapText="1"/>
    </xf>
    <xf numFmtId="0" fontId="5" fillId="0" borderId="26" xfId="11" applyFont="1" applyFill="1" applyBorder="1" applyAlignment="1">
      <alignment horizontal="center" vertical="center" wrapText="1"/>
    </xf>
    <xf numFmtId="173" fontId="5" fillId="0" borderId="26" xfId="11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5" fillId="0" borderId="30" xfId="1" applyFont="1" applyFill="1" applyBorder="1" applyAlignment="1">
      <alignment horizontal="center" vertical="center" wrapText="1"/>
    </xf>
    <xf numFmtId="39" fontId="5" fillId="0" borderId="0" xfId="0" applyNumberFormat="1" applyFont="1" applyFill="1" applyBorder="1" applyAlignment="1" applyProtection="1">
      <alignment horizontal="left" vertical="center"/>
      <protection locked="0"/>
    </xf>
    <xf numFmtId="39" fontId="5" fillId="0" borderId="0" xfId="0" applyNumberFormat="1" applyFont="1" applyFill="1" applyBorder="1" applyAlignment="1" applyProtection="1">
      <alignment horizontal="center" vertical="center"/>
      <protection locked="0"/>
    </xf>
    <xf numFmtId="39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>
      <alignment vertical="center"/>
    </xf>
    <xf numFmtId="39" fontId="5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21" xfId="1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 wrapText="1"/>
    </xf>
    <xf numFmtId="4" fontId="6" fillId="0" borderId="14" xfId="1" applyNumberFormat="1" applyFont="1" applyFill="1" applyBorder="1" applyAlignment="1">
      <alignment horizontal="center" vertical="center" wrapText="1"/>
    </xf>
    <xf numFmtId="173" fontId="6" fillId="0" borderId="14" xfId="1" applyNumberFormat="1" applyFont="1" applyFill="1" applyBorder="1" applyAlignment="1">
      <alignment vertical="center" wrapText="1"/>
    </xf>
    <xf numFmtId="4" fontId="6" fillId="0" borderId="14" xfId="1" applyNumberFormat="1" applyFont="1" applyFill="1" applyBorder="1" applyAlignment="1">
      <alignment vertical="center" wrapText="1"/>
    </xf>
    <xf numFmtId="4" fontId="6" fillId="0" borderId="22" xfId="1" applyNumberFormat="1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right" vertical="center" wrapText="1"/>
    </xf>
    <xf numFmtId="173" fontId="21" fillId="0" borderId="2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21" fillId="0" borderId="25" xfId="106" applyFont="1" applyFill="1" applyBorder="1" applyAlignment="1">
      <alignment horizontal="center" vertical="center" wrapText="1"/>
    </xf>
    <xf numFmtId="0" fontId="6" fillId="0" borderId="21" xfId="106" applyFont="1" applyFill="1" applyBorder="1" applyAlignment="1">
      <alignment horizontal="center" vertical="center" wrapText="1"/>
    </xf>
    <xf numFmtId="0" fontId="6" fillId="0" borderId="14" xfId="106" applyFont="1" applyFill="1" applyBorder="1" applyAlignment="1">
      <alignment vertical="center" wrapText="1"/>
    </xf>
    <xf numFmtId="0" fontId="6" fillId="0" borderId="14" xfId="106" applyFont="1" applyFill="1" applyBorder="1" applyAlignment="1">
      <alignment horizontal="center" vertical="center" wrapText="1"/>
    </xf>
    <xf numFmtId="175" fontId="6" fillId="0" borderId="14" xfId="106" applyNumberFormat="1" applyFont="1" applyFill="1" applyBorder="1" applyAlignment="1">
      <alignment vertical="center" wrapText="1"/>
    </xf>
    <xf numFmtId="0" fontId="6" fillId="0" borderId="21" xfId="106" applyFont="1" applyFill="1" applyBorder="1" applyAlignment="1">
      <alignment horizontal="center" vertical="center"/>
    </xf>
    <xf numFmtId="0" fontId="6" fillId="0" borderId="14" xfId="106" applyFont="1" applyFill="1" applyBorder="1" applyAlignment="1">
      <alignment horizontal="center" vertical="center"/>
    </xf>
    <xf numFmtId="4" fontId="6" fillId="0" borderId="14" xfId="106" applyNumberFormat="1" applyFont="1" applyFill="1" applyBorder="1" applyAlignment="1">
      <alignment vertical="center" wrapText="1"/>
    </xf>
    <xf numFmtId="4" fontId="6" fillId="0" borderId="22" xfId="106" applyNumberFormat="1" applyFont="1" applyFill="1" applyBorder="1" applyAlignment="1">
      <alignment vertical="center" wrapText="1"/>
    </xf>
    <xf numFmtId="0" fontId="21" fillId="0" borderId="28" xfId="9" applyFont="1" applyFill="1" applyBorder="1" applyAlignment="1">
      <alignment horizontal="center" vertical="center" wrapText="1"/>
    </xf>
    <xf numFmtId="0" fontId="21" fillId="0" borderId="29" xfId="9" applyFont="1" applyFill="1" applyBorder="1" applyAlignment="1">
      <alignment horizontal="center" vertical="center" wrapText="1"/>
    </xf>
    <xf numFmtId="3" fontId="21" fillId="0" borderId="29" xfId="9" applyNumberFormat="1" applyFont="1" applyFill="1" applyBorder="1" applyAlignment="1">
      <alignment horizontal="right" vertical="center" wrapText="1"/>
    </xf>
    <xf numFmtId="173" fontId="21" fillId="0" borderId="29" xfId="9" applyNumberFormat="1" applyFont="1" applyFill="1" applyBorder="1" applyAlignment="1">
      <alignment horizontal="center" vertical="center" wrapText="1"/>
    </xf>
    <xf numFmtId="4" fontId="21" fillId="0" borderId="29" xfId="9" applyNumberFormat="1" applyFont="1" applyFill="1" applyBorder="1" applyAlignment="1">
      <alignment horizontal="center" vertical="center" wrapText="1"/>
    </xf>
    <xf numFmtId="4" fontId="21" fillId="0" borderId="30" xfId="106" applyNumberFormat="1" applyFont="1" applyFill="1" applyBorder="1" applyAlignment="1">
      <alignment horizontal="center" vertical="center" wrapText="1"/>
    </xf>
    <xf numFmtId="0" fontId="21" fillId="0" borderId="25" xfId="1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4" fontId="21" fillId="0" borderId="30" xfId="9" applyNumberFormat="1" applyFont="1" applyFill="1" applyBorder="1" applyAlignment="1">
      <alignment horizontal="center" vertical="center" wrapText="1"/>
    </xf>
    <xf numFmtId="0" fontId="21" fillId="0" borderId="26" xfId="11" applyFont="1" applyFill="1" applyBorder="1" applyAlignment="1">
      <alignment horizontal="center" vertical="center" wrapText="1"/>
    </xf>
    <xf numFmtId="173" fontId="21" fillId="0" borderId="26" xfId="11" applyNumberFormat="1" applyFont="1" applyFill="1" applyBorder="1" applyAlignment="1">
      <alignment horizontal="center" vertical="center" wrapText="1"/>
    </xf>
    <xf numFmtId="0" fontId="6" fillId="0" borderId="21" xfId="1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1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vertical="center" wrapText="1"/>
    </xf>
    <xf numFmtId="4" fontId="6" fillId="0" borderId="14" xfId="11" applyNumberFormat="1" applyFont="1" applyFill="1" applyBorder="1" applyAlignment="1">
      <alignment vertical="center" wrapText="1"/>
    </xf>
    <xf numFmtId="4" fontId="6" fillId="0" borderId="22" xfId="11" applyNumberFormat="1" applyFont="1" applyFill="1" applyBorder="1" applyAlignment="1">
      <alignment vertical="center" wrapText="1"/>
    </xf>
    <xf numFmtId="173" fontId="6" fillId="0" borderId="14" xfId="11" applyNumberFormat="1" applyFont="1" applyFill="1" applyBorder="1" applyAlignment="1">
      <alignment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justify" vertical="center" wrapText="1"/>
    </xf>
    <xf numFmtId="182" fontId="6" fillId="0" borderId="17" xfId="11" applyNumberFormat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173" fontId="6" fillId="0" borderId="17" xfId="1" applyNumberFormat="1" applyFont="1" applyFill="1" applyBorder="1" applyAlignment="1">
      <alignment vertical="center" wrapText="1"/>
    </xf>
    <xf numFmtId="173" fontId="41" fillId="0" borderId="0" xfId="0" applyNumberFormat="1" applyFont="1" applyFill="1"/>
    <xf numFmtId="173" fontId="46" fillId="0" borderId="0" xfId="0" applyNumberFormat="1" applyFont="1" applyFill="1"/>
    <xf numFmtId="173" fontId="26" fillId="0" borderId="26" xfId="0" applyNumberFormat="1" applyFont="1" applyFill="1" applyBorder="1"/>
    <xf numFmtId="173" fontId="3" fillId="0" borderId="14" xfId="106" applyNumberFormat="1" applyFont="1" applyFill="1" applyBorder="1" applyAlignment="1">
      <alignment vertical="center" wrapText="1"/>
    </xf>
    <xf numFmtId="173" fontId="6" fillId="0" borderId="14" xfId="106" applyNumberFormat="1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vertical="center"/>
    </xf>
    <xf numFmtId="173" fontId="17" fillId="0" borderId="14" xfId="0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3" xfId="1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1" fillId="0" borderId="49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173" fontId="21" fillId="0" borderId="26" xfId="1" applyNumberFormat="1" applyFont="1" applyFill="1" applyBorder="1" applyAlignment="1">
      <alignment horizontal="center" vertical="center" wrapText="1"/>
    </xf>
    <xf numFmtId="0" fontId="21" fillId="0" borderId="48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4" fontId="6" fillId="0" borderId="50" xfId="1" applyNumberFormat="1" applyFont="1" applyFill="1" applyBorder="1" applyAlignment="1">
      <alignment vertical="center" wrapText="1"/>
    </xf>
    <xf numFmtId="4" fontId="6" fillId="0" borderId="51" xfId="1" applyNumberFormat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vertical="center" wrapText="1"/>
    </xf>
    <xf numFmtId="0" fontId="1" fillId="0" borderId="21" xfId="220" applyFont="1" applyFill="1" applyBorder="1"/>
    <xf numFmtId="0" fontId="1" fillId="0" borderId="14" xfId="220" applyFont="1" applyFill="1" applyBorder="1"/>
    <xf numFmtId="173" fontId="1" fillId="0" borderId="14" xfId="220" applyNumberFormat="1" applyFont="1" applyFill="1" applyBorder="1"/>
    <xf numFmtId="0" fontId="21" fillId="0" borderId="28" xfId="221" applyFont="1" applyFill="1" applyBorder="1" applyAlignment="1">
      <alignment horizontal="center" vertical="center" wrapText="1"/>
    </xf>
    <xf numFmtId="0" fontId="21" fillId="0" borderId="29" xfId="221" applyFont="1" applyFill="1" applyBorder="1" applyAlignment="1">
      <alignment horizontal="center" vertical="center" wrapText="1"/>
    </xf>
    <xf numFmtId="173" fontId="21" fillId="0" borderId="29" xfId="221" applyNumberFormat="1" applyFont="1" applyFill="1" applyBorder="1" applyAlignment="1">
      <alignment horizontal="center" vertical="center" wrapText="1"/>
    </xf>
    <xf numFmtId="4" fontId="21" fillId="0" borderId="30" xfId="1" applyNumberFormat="1" applyFont="1" applyFill="1" applyBorder="1" applyAlignment="1">
      <alignment horizontal="center" vertical="center" wrapText="1"/>
    </xf>
    <xf numFmtId="4" fontId="6" fillId="0" borderId="19" xfId="1" applyNumberFormat="1" applyFont="1" applyFill="1" applyBorder="1" applyAlignment="1">
      <alignment vertical="center" wrapText="1"/>
    </xf>
    <xf numFmtId="4" fontId="6" fillId="0" borderId="20" xfId="1" applyNumberFormat="1" applyFont="1" applyFill="1" applyBorder="1" applyAlignment="1">
      <alignment vertical="center" wrapText="1"/>
    </xf>
    <xf numFmtId="0" fontId="6" fillId="0" borderId="14" xfId="11" applyFont="1" applyFill="1" applyBorder="1" applyAlignment="1">
      <alignment vertical="center" wrapText="1"/>
    </xf>
    <xf numFmtId="0" fontId="0" fillId="0" borderId="0" xfId="0" applyFont="1" applyFill="1"/>
    <xf numFmtId="173" fontId="0" fillId="0" borderId="0" xfId="0" applyNumberFormat="1" applyFont="1" applyFill="1"/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23" xfId="12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vertical="center" wrapText="1"/>
    </xf>
    <xf numFmtId="4" fontId="6" fillId="0" borderId="14" xfId="1" applyNumberFormat="1" applyFont="1" applyFill="1" applyBorder="1" applyAlignment="1">
      <alignment vertical="center"/>
    </xf>
    <xf numFmtId="173" fontId="6" fillId="0" borderId="0" xfId="1" applyNumberFormat="1" applyFont="1" applyFill="1" applyAlignment="1">
      <alignment vertical="center" wrapText="1"/>
    </xf>
    <xf numFmtId="0" fontId="6" fillId="0" borderId="23" xfId="1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173" fontId="21" fillId="0" borderId="0" xfId="1" applyNumberFormat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172" fontId="6" fillId="0" borderId="14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vertical="center" wrapText="1"/>
    </xf>
    <xf numFmtId="4" fontId="6" fillId="0" borderId="17" xfId="1" applyNumberFormat="1" applyFont="1" applyFill="1" applyBorder="1" applyAlignment="1">
      <alignment vertical="center" wrapText="1"/>
    </xf>
    <xf numFmtId="3" fontId="6" fillId="0" borderId="17" xfId="1" applyNumberFormat="1" applyFont="1" applyFill="1" applyBorder="1" applyAlignment="1">
      <alignment vertical="center" wrapText="1"/>
    </xf>
    <xf numFmtId="4" fontId="6" fillId="0" borderId="45" xfId="1" applyNumberFormat="1" applyFont="1" applyFill="1" applyBorder="1" applyAlignment="1">
      <alignment vertical="center" wrapText="1"/>
    </xf>
    <xf numFmtId="3" fontId="6" fillId="0" borderId="22" xfId="1" applyNumberFormat="1" applyFont="1" applyFill="1" applyBorder="1" applyAlignment="1">
      <alignment vertical="center" wrapText="1"/>
    </xf>
    <xf numFmtId="181" fontId="21" fillId="0" borderId="29" xfId="9" applyNumberFormat="1" applyFont="1" applyFill="1" applyBorder="1" applyAlignment="1">
      <alignment horizontal="center" vertical="center" wrapText="1"/>
    </xf>
    <xf numFmtId="173" fontId="6" fillId="0" borderId="14" xfId="1" applyNumberFormat="1" applyFont="1" applyFill="1" applyBorder="1" applyAlignment="1">
      <alignment horizontal="center" vertical="center" wrapText="1"/>
    </xf>
    <xf numFmtId="4" fontId="6" fillId="0" borderId="17" xfId="1" applyNumberFormat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vertical="center" wrapText="1"/>
    </xf>
    <xf numFmtId="39" fontId="6" fillId="0" borderId="14" xfId="1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21" fillId="0" borderId="14" xfId="11" applyFont="1" applyFill="1" applyBorder="1" applyAlignment="1">
      <alignment vertical="center" wrapText="1"/>
    </xf>
    <xf numFmtId="0" fontId="6" fillId="0" borderId="14" xfId="11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4" xfId="1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40" borderId="77" xfId="1" applyFont="1" applyFill="1" applyBorder="1" applyAlignment="1">
      <alignment horizontal="center" vertical="center" wrapText="1"/>
    </xf>
    <xf numFmtId="0" fontId="52" fillId="41" borderId="14" xfId="1" applyFont="1" applyFill="1" applyBorder="1" applyAlignment="1">
      <alignment horizontal="justify" vertical="center" wrapText="1"/>
    </xf>
    <xf numFmtId="185" fontId="50" fillId="0" borderId="0" xfId="0" applyNumberFormat="1" applyFont="1" applyFill="1" applyBorder="1" applyAlignment="1">
      <alignment wrapText="1"/>
    </xf>
    <xf numFmtId="186" fontId="50" fillId="0" borderId="0" xfId="0" applyNumberFormat="1" applyFont="1" applyFill="1" applyBorder="1" applyAlignment="1">
      <alignment wrapText="1"/>
    </xf>
    <xf numFmtId="0" fontId="52" fillId="41" borderId="66" xfId="1" applyFont="1" applyFill="1" applyBorder="1" applyAlignment="1">
      <alignment horizontal="justify" vertical="center" wrapText="1"/>
    </xf>
    <xf numFmtId="0" fontId="51" fillId="40" borderId="76" xfId="1" applyFont="1" applyFill="1" applyBorder="1" applyAlignment="1">
      <alignment horizontal="center" vertical="center" wrapText="1"/>
    </xf>
    <xf numFmtId="0" fontId="51" fillId="40" borderId="29" xfId="1" applyFont="1" applyFill="1" applyBorder="1" applyAlignment="1">
      <alignment horizontal="center" vertical="center" wrapText="1"/>
    </xf>
    <xf numFmtId="0" fontId="52" fillId="41" borderId="70" xfId="1" applyFont="1" applyFill="1" applyBorder="1" applyAlignment="1">
      <alignment vertical="center" wrapText="1"/>
    </xf>
    <xf numFmtId="4" fontId="52" fillId="41" borderId="71" xfId="1" applyNumberFormat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vertical="center" wrapText="1"/>
    </xf>
    <xf numFmtId="0" fontId="52" fillId="41" borderId="71" xfId="1" applyFont="1" applyFill="1" applyBorder="1" applyAlignment="1">
      <alignment horizontal="center" vertical="center" wrapText="1"/>
    </xf>
    <xf numFmtId="0" fontId="52" fillId="41" borderId="0" xfId="0" applyFont="1" applyFill="1" applyBorder="1" applyAlignment="1">
      <alignment wrapText="1"/>
    </xf>
    <xf numFmtId="0" fontId="52" fillId="41" borderId="68" xfId="0" applyFont="1" applyFill="1" applyBorder="1" applyAlignment="1">
      <alignment horizontal="justify" vertical="center" wrapText="1"/>
    </xf>
    <xf numFmtId="0" fontId="52" fillId="41" borderId="14" xfId="11" applyFont="1" applyFill="1" applyBorder="1" applyAlignment="1">
      <alignment horizontal="center" vertical="center" wrapText="1"/>
    </xf>
    <xf numFmtId="0" fontId="52" fillId="41" borderId="70" xfId="0" applyFont="1" applyFill="1" applyBorder="1" applyAlignment="1">
      <alignment vertical="center" wrapText="1"/>
    </xf>
    <xf numFmtId="4" fontId="52" fillId="41" borderId="71" xfId="0" applyNumberFormat="1" applyFont="1" applyFill="1" applyBorder="1" applyAlignment="1">
      <alignment horizontal="center" vertical="center" wrapText="1"/>
    </xf>
    <xf numFmtId="0" fontId="52" fillId="41" borderId="68" xfId="1" applyFont="1" applyFill="1" applyBorder="1" applyAlignment="1">
      <alignment vertical="center" wrapText="1"/>
    </xf>
    <xf numFmtId="0" fontId="52" fillId="41" borderId="14" xfId="1" applyFont="1" applyFill="1" applyBorder="1" applyAlignment="1">
      <alignment horizontal="center" vertical="center" wrapText="1"/>
    </xf>
    <xf numFmtId="0" fontId="52" fillId="41" borderId="68" xfId="1" applyFont="1" applyFill="1" applyBorder="1" applyAlignment="1">
      <alignment horizontal="left" vertical="center" wrapText="1"/>
    </xf>
    <xf numFmtId="0" fontId="52" fillId="41" borderId="70" xfId="1" applyFont="1" applyFill="1" applyBorder="1" applyAlignment="1">
      <alignment horizontal="left" vertical="center" wrapText="1"/>
    </xf>
    <xf numFmtId="180" fontId="52" fillId="41" borderId="71" xfId="216" applyNumberFormat="1" applyFont="1" applyFill="1" applyBorder="1" applyAlignment="1">
      <alignment horizontal="center" vertical="center" wrapText="1"/>
    </xf>
    <xf numFmtId="0" fontId="52" fillId="41" borderId="68" xfId="0" applyFont="1" applyFill="1" applyBorder="1" applyAlignment="1">
      <alignment vertical="center" wrapText="1"/>
    </xf>
    <xf numFmtId="0" fontId="52" fillId="41" borderId="68" xfId="11" applyFont="1" applyFill="1" applyBorder="1" applyAlignment="1">
      <alignment vertical="center" wrapText="1"/>
    </xf>
    <xf numFmtId="0" fontId="52" fillId="41" borderId="70" xfId="11" applyFont="1" applyFill="1" applyBorder="1" applyAlignment="1">
      <alignment vertical="center" wrapText="1"/>
    </xf>
    <xf numFmtId="0" fontId="52" fillId="41" borderId="71" xfId="11" applyFont="1" applyFill="1" applyBorder="1" applyAlignment="1">
      <alignment horizontal="center" vertical="center" wrapText="1"/>
    </xf>
    <xf numFmtId="39" fontId="52" fillId="41" borderId="68" xfId="1" applyNumberFormat="1" applyFont="1" applyFill="1" applyBorder="1" applyAlignment="1">
      <alignment vertical="center" wrapText="1"/>
    </xf>
    <xf numFmtId="0" fontId="52" fillId="41" borderId="14" xfId="0" applyFont="1" applyFill="1" applyBorder="1" applyAlignment="1">
      <alignment horizontal="center" vertical="center" wrapText="1"/>
    </xf>
    <xf numFmtId="172" fontId="52" fillId="41" borderId="14" xfId="1" applyNumberFormat="1" applyFont="1" applyFill="1" applyBorder="1" applyAlignment="1">
      <alignment horizontal="center" vertical="center" wrapText="1"/>
    </xf>
    <xf numFmtId="0" fontId="55" fillId="41" borderId="0" xfId="0" applyFont="1" applyFill="1"/>
    <xf numFmtId="0" fontId="55" fillId="4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0" xfId="0" applyFont="1"/>
    <xf numFmtId="0" fontId="57" fillId="40" borderId="14" xfId="0" applyFont="1" applyFill="1" applyBorder="1" applyAlignment="1">
      <alignment horizontal="center" vertical="center"/>
    </xf>
    <xf numFmtId="2" fontId="57" fillId="40" borderId="14" xfId="0" applyNumberFormat="1" applyFont="1" applyFill="1" applyBorder="1" applyAlignment="1">
      <alignment horizontal="center" vertical="center"/>
    </xf>
    <xf numFmtId="165" fontId="57" fillId="40" borderId="14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2" fontId="55" fillId="0" borderId="14" xfId="0" applyNumberFormat="1" applyFont="1" applyFill="1" applyBorder="1" applyAlignment="1">
      <alignment horizontal="center" vertical="center"/>
    </xf>
    <xf numFmtId="188" fontId="55" fillId="0" borderId="14" xfId="225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170" fontId="3" fillId="0" borderId="17" xfId="1" applyNumberFormat="1" applyFont="1" applyBorder="1" applyAlignment="1">
      <alignment horizontal="center" vertical="center" wrapText="1"/>
    </xf>
    <xf numFmtId="170" fontId="5" fillId="0" borderId="17" xfId="1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8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88" fontId="55" fillId="0" borderId="0" xfId="0" applyNumberFormat="1" applyFont="1"/>
    <xf numFmtId="0" fontId="57" fillId="40" borderId="14" xfId="0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11" applyFont="1" applyFill="1" applyBorder="1" applyAlignment="1">
      <alignment horizontal="center" vertical="center" wrapText="1"/>
    </xf>
    <xf numFmtId="0" fontId="21" fillId="0" borderId="24" xfId="106" applyFont="1" applyFill="1" applyBorder="1" applyAlignment="1">
      <alignment horizontal="center" vertical="center" wrapText="1"/>
    </xf>
    <xf numFmtId="0" fontId="21" fillId="0" borderId="24" xfId="11" applyFont="1" applyFill="1" applyBorder="1" applyAlignment="1">
      <alignment horizontal="center" vertical="center" wrapText="1"/>
    </xf>
    <xf numFmtId="2" fontId="21" fillId="0" borderId="14" xfId="1" applyNumberFormat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1" fillId="40" borderId="73" xfId="1" applyFont="1" applyFill="1" applyBorder="1" applyAlignment="1">
      <alignment vertical="center" wrapText="1"/>
    </xf>
    <xf numFmtId="0" fontId="51" fillId="40" borderId="79" xfId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wrapText="1"/>
    </xf>
    <xf numFmtId="0" fontId="51" fillId="40" borderId="80" xfId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1" fillId="40" borderId="74" xfId="1" applyFont="1" applyFill="1" applyBorder="1" applyAlignment="1">
      <alignment horizontal="center" vertical="center" wrapText="1"/>
    </xf>
    <xf numFmtId="0" fontId="52" fillId="41" borderId="0" xfId="0" applyFont="1" applyFill="1" applyBorder="1" applyAlignment="1">
      <alignment horizontal="center" wrapText="1"/>
    </xf>
    <xf numFmtId="189" fontId="49" fillId="0" borderId="0" xfId="218" applyNumberFormat="1" applyFont="1" applyFill="1" applyBorder="1" applyAlignment="1">
      <alignment horizontal="center" wrapText="1"/>
    </xf>
    <xf numFmtId="189" fontId="51" fillId="40" borderId="80" xfId="218" applyNumberFormat="1" applyFont="1" applyFill="1" applyBorder="1" applyAlignment="1">
      <alignment horizontal="center" vertical="center" wrapText="1"/>
    </xf>
    <xf numFmtId="189" fontId="51" fillId="40" borderId="77" xfId="218" applyNumberFormat="1" applyFont="1" applyFill="1" applyBorder="1" applyAlignment="1">
      <alignment horizontal="center" vertical="center" wrapText="1"/>
    </xf>
    <xf numFmtId="189" fontId="52" fillId="41" borderId="41" xfId="218" applyNumberFormat="1" applyFont="1" applyFill="1" applyBorder="1" applyAlignment="1">
      <alignment horizontal="center" vertical="center" wrapText="1"/>
    </xf>
    <xf numFmtId="189" fontId="52" fillId="41" borderId="72" xfId="218" applyNumberFormat="1" applyFont="1" applyFill="1" applyBorder="1" applyAlignment="1">
      <alignment horizontal="center" vertical="center" wrapText="1"/>
    </xf>
    <xf numFmtId="189" fontId="51" fillId="0" borderId="0" xfId="218" applyNumberFormat="1" applyFont="1" applyFill="1" applyBorder="1" applyAlignment="1">
      <alignment horizontal="center" vertical="center" wrapText="1"/>
    </xf>
    <xf numFmtId="189" fontId="51" fillId="40" borderId="78" xfId="218" applyNumberFormat="1" applyFont="1" applyFill="1" applyBorder="1" applyAlignment="1">
      <alignment horizontal="center" vertical="center" wrapText="1"/>
    </xf>
    <xf numFmtId="189" fontId="52" fillId="41" borderId="0" xfId="218" applyNumberFormat="1" applyFont="1" applyFill="1" applyBorder="1" applyAlignment="1">
      <alignment horizontal="center" wrapText="1"/>
    </xf>
    <xf numFmtId="189" fontId="52" fillId="41" borderId="69" xfId="218" applyNumberFormat="1" applyFont="1" applyFill="1" applyBorder="1" applyAlignment="1">
      <alignment horizontal="center" vertical="center" wrapText="1"/>
    </xf>
    <xf numFmtId="189" fontId="49" fillId="0" borderId="0" xfId="0" applyNumberFormat="1" applyFont="1" applyFill="1" applyBorder="1" applyAlignment="1">
      <alignment horizontal="center" wrapText="1"/>
    </xf>
    <xf numFmtId="189" fontId="51" fillId="40" borderId="81" xfId="1" applyNumberFormat="1" applyFont="1" applyFill="1" applyBorder="1" applyAlignment="1">
      <alignment horizontal="center" vertical="center" wrapText="1"/>
    </xf>
    <xf numFmtId="189" fontId="51" fillId="40" borderId="77" xfId="1" applyNumberFormat="1" applyFont="1" applyFill="1" applyBorder="1" applyAlignment="1">
      <alignment horizontal="center" vertical="center" wrapText="1"/>
    </xf>
    <xf numFmtId="189" fontId="52" fillId="41" borderId="67" xfId="1" applyNumberFormat="1" applyFont="1" applyFill="1" applyBorder="1" applyAlignment="1">
      <alignment horizontal="center" vertical="center" wrapText="1"/>
    </xf>
    <xf numFmtId="189" fontId="51" fillId="0" borderId="0" xfId="9" applyNumberFormat="1" applyFont="1" applyFill="1" applyBorder="1" applyAlignment="1">
      <alignment horizontal="center" vertical="center" wrapText="1"/>
    </xf>
    <xf numFmtId="189" fontId="51" fillId="40" borderId="75" xfId="1" applyNumberFormat="1" applyFont="1" applyFill="1" applyBorder="1" applyAlignment="1">
      <alignment horizontal="center" vertical="center" wrapText="1"/>
    </xf>
    <xf numFmtId="189" fontId="52" fillId="41" borderId="0" xfId="0" applyNumberFormat="1" applyFont="1" applyFill="1" applyBorder="1" applyAlignment="1">
      <alignment horizontal="center" wrapText="1"/>
    </xf>
    <xf numFmtId="172" fontId="41" fillId="0" borderId="0" xfId="0" applyNumberFormat="1" applyFont="1" applyFill="1"/>
    <xf numFmtId="172" fontId="5" fillId="0" borderId="26" xfId="1" applyNumberFormat="1" applyFont="1" applyFill="1" applyBorder="1" applyAlignment="1">
      <alignment horizontal="center" vertical="center" wrapText="1"/>
    </xf>
    <xf numFmtId="172" fontId="3" fillId="0" borderId="17" xfId="213" applyNumberFormat="1" applyFont="1" applyFill="1" applyBorder="1" applyAlignment="1">
      <alignment horizontal="center" vertical="center" wrapText="1"/>
    </xf>
    <xf numFmtId="172" fontId="3" fillId="0" borderId="17" xfId="1" applyNumberFormat="1" applyFont="1" applyFill="1" applyBorder="1" applyAlignment="1">
      <alignment horizontal="center" vertical="center" wrapText="1"/>
    </xf>
    <xf numFmtId="172" fontId="5" fillId="0" borderId="29" xfId="9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/>
    <xf numFmtId="172" fontId="21" fillId="0" borderId="26" xfId="1" applyNumberFormat="1" applyFont="1" applyFill="1" applyBorder="1" applyAlignment="1">
      <alignment horizontal="center" vertical="center" wrapText="1"/>
    </xf>
    <xf numFmtId="172" fontId="6" fillId="0" borderId="17" xfId="213" applyNumberFormat="1" applyFont="1" applyFill="1" applyBorder="1" applyAlignment="1">
      <alignment horizontal="center" vertical="center" wrapText="1"/>
    </xf>
    <xf numFmtId="172" fontId="6" fillId="0" borderId="17" xfId="1" applyNumberFormat="1" applyFont="1" applyFill="1" applyBorder="1" applyAlignment="1">
      <alignment horizontal="center" vertical="center" wrapText="1"/>
    </xf>
    <xf numFmtId="172" fontId="6" fillId="0" borderId="14" xfId="10" applyNumberFormat="1" applyFont="1" applyFill="1" applyBorder="1" applyAlignment="1">
      <alignment horizontal="center" vertical="center" wrapText="1"/>
    </xf>
    <xf numFmtId="172" fontId="21" fillId="0" borderId="29" xfId="9" applyNumberFormat="1" applyFont="1" applyFill="1" applyBorder="1" applyAlignment="1">
      <alignment horizontal="center" vertical="center" wrapText="1"/>
    </xf>
    <xf numFmtId="172" fontId="3" fillId="0" borderId="14" xfId="1" applyNumberFormat="1" applyFont="1" applyFill="1" applyBorder="1" applyAlignment="1">
      <alignment horizontal="center" vertical="center" wrapText="1"/>
    </xf>
    <xf numFmtId="172" fontId="3" fillId="0" borderId="14" xfId="213" applyNumberFormat="1" applyFont="1" applyFill="1" applyBorder="1" applyAlignment="1">
      <alignment horizontal="center" vertical="center" wrapText="1"/>
    </xf>
    <xf numFmtId="172" fontId="17" fillId="0" borderId="0" xfId="1" applyNumberFormat="1" applyFont="1" applyFill="1" applyAlignment="1">
      <alignment horizontal="center" vertical="center" wrapText="1"/>
    </xf>
    <xf numFmtId="172" fontId="31" fillId="0" borderId="26" xfId="1" applyNumberFormat="1" applyFont="1" applyFill="1" applyBorder="1" applyAlignment="1">
      <alignment horizontal="center" vertical="center" wrapText="1"/>
    </xf>
    <xf numFmtId="172" fontId="6" fillId="0" borderId="14" xfId="213" applyNumberFormat="1" applyFont="1" applyFill="1" applyBorder="1" applyAlignment="1">
      <alignment horizontal="center" vertical="center" wrapText="1"/>
    </xf>
    <xf numFmtId="172" fontId="46" fillId="0" borderId="0" xfId="0" applyNumberFormat="1" applyFont="1" applyFill="1"/>
    <xf numFmtId="172" fontId="3" fillId="0" borderId="17" xfId="11" applyNumberFormat="1" applyFont="1" applyFill="1" applyBorder="1" applyAlignment="1">
      <alignment horizontal="center" vertical="center" wrapText="1"/>
    </xf>
    <xf numFmtId="172" fontId="17" fillId="0" borderId="14" xfId="1" applyNumberFormat="1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172" fontId="5" fillId="0" borderId="29" xfId="0" applyNumberFormat="1" applyFont="1" applyFill="1" applyBorder="1" applyAlignment="1">
      <alignment horizontal="center" vertical="center" wrapText="1"/>
    </xf>
    <xf numFmtId="172" fontId="6" fillId="0" borderId="17" xfId="11" applyNumberFormat="1" applyFont="1" applyFill="1" applyBorder="1" applyAlignment="1">
      <alignment horizontal="center" vertical="center" wrapText="1"/>
    </xf>
    <xf numFmtId="172" fontId="26" fillId="0" borderId="26" xfId="0" applyNumberFormat="1" applyFont="1" applyFill="1" applyBorder="1"/>
    <xf numFmtId="172" fontId="5" fillId="0" borderId="46" xfId="1" applyNumberFormat="1" applyFont="1" applyFill="1" applyBorder="1" applyAlignment="1">
      <alignment horizontal="center" vertical="center" wrapText="1"/>
    </xf>
    <xf numFmtId="172" fontId="3" fillId="0" borderId="19" xfId="1" applyNumberFormat="1" applyFont="1" applyFill="1" applyBorder="1" applyAlignment="1">
      <alignment horizontal="center" vertical="center" wrapText="1"/>
    </xf>
    <xf numFmtId="172" fontId="17" fillId="0" borderId="26" xfId="0" applyNumberFormat="1" applyFont="1" applyFill="1" applyBorder="1" applyAlignment="1">
      <alignment horizontal="center" vertical="center"/>
    </xf>
    <xf numFmtId="172" fontId="6" fillId="0" borderId="24" xfId="1" applyNumberFormat="1" applyFont="1" applyFill="1" applyBorder="1" applyAlignment="1">
      <alignment horizontal="center" vertical="center" wrapText="1"/>
    </xf>
    <xf numFmtId="172" fontId="17" fillId="0" borderId="24" xfId="0" applyNumberFormat="1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4" xfId="11" applyNumberFormat="1" applyFont="1" applyFill="1" applyBorder="1" applyAlignment="1">
      <alignment horizontal="center" vertical="center" wrapText="1"/>
    </xf>
    <xf numFmtId="172" fontId="31" fillId="0" borderId="26" xfId="106" applyNumberFormat="1" applyFont="1" applyFill="1" applyBorder="1" applyAlignment="1">
      <alignment horizontal="center" vertical="center"/>
    </xf>
    <xf numFmtId="172" fontId="3" fillId="0" borderId="17" xfId="106" applyNumberFormat="1" applyFont="1" applyFill="1" applyBorder="1" applyAlignment="1">
      <alignment horizontal="center" vertical="center" wrapText="1"/>
    </xf>
    <xf numFmtId="172" fontId="3" fillId="0" borderId="14" xfId="106" applyNumberFormat="1" applyFont="1" applyFill="1" applyBorder="1" applyAlignment="1">
      <alignment horizontal="center" vertical="center" wrapText="1"/>
    </xf>
    <xf numFmtId="172" fontId="6" fillId="0" borderId="14" xfId="106" applyNumberFormat="1" applyFont="1" applyFill="1" applyBorder="1" applyAlignment="1">
      <alignment horizontal="center" vertical="center" wrapText="1"/>
    </xf>
    <xf numFmtId="172" fontId="6" fillId="0" borderId="14" xfId="106" applyNumberFormat="1" applyFont="1" applyFill="1" applyBorder="1" applyAlignment="1">
      <alignment horizontal="center" vertical="center"/>
    </xf>
    <xf numFmtId="172" fontId="3" fillId="0" borderId="14" xfId="213" applyNumberFormat="1" applyFont="1" applyFill="1" applyBorder="1" applyAlignment="1">
      <alignment horizontal="center" vertical="center"/>
    </xf>
    <xf numFmtId="172" fontId="5" fillId="0" borderId="29" xfId="0" quotePrefix="1" applyNumberFormat="1" applyFont="1" applyFill="1" applyBorder="1" applyAlignment="1">
      <alignment horizontal="center" vertical="center" wrapText="1"/>
    </xf>
    <xf numFmtId="172" fontId="3" fillId="0" borderId="24" xfId="1" applyNumberFormat="1" applyFont="1" applyFill="1" applyBorder="1" applyAlignment="1">
      <alignment horizontal="center" vertical="center" wrapText="1"/>
    </xf>
    <xf numFmtId="172" fontId="31" fillId="0" borderId="26" xfId="11" applyNumberFormat="1" applyFont="1" applyFill="1" applyBorder="1" applyAlignment="1">
      <alignment horizontal="center" vertical="center" wrapText="1"/>
    </xf>
    <xf numFmtId="172" fontId="21" fillId="0" borderId="26" xfId="11" applyNumberFormat="1" applyFont="1" applyFill="1" applyBorder="1" applyAlignment="1">
      <alignment horizontal="center" vertical="center" wrapText="1"/>
    </xf>
    <xf numFmtId="172" fontId="17" fillId="0" borderId="17" xfId="11" applyNumberFormat="1" applyFont="1" applyFill="1" applyBorder="1" applyAlignment="1">
      <alignment horizontal="center" vertical="center" wrapText="1"/>
    </xf>
    <xf numFmtId="172" fontId="5" fillId="0" borderId="26" xfId="11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4" xfId="216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 wrapText="1"/>
    </xf>
    <xf numFmtId="172" fontId="3" fillId="0" borderId="14" xfId="13" applyNumberFormat="1" applyFont="1" applyFill="1" applyBorder="1" applyAlignment="1">
      <alignment horizontal="center" vertical="center" wrapText="1"/>
    </xf>
    <xf numFmtId="172" fontId="6" fillId="0" borderId="14" xfId="11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13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1" fillId="0" borderId="14" xfId="220" applyNumberFormat="1" applyFont="1" applyFill="1" applyBorder="1"/>
    <xf numFmtId="172" fontId="21" fillId="0" borderId="29" xfId="221" applyNumberFormat="1" applyFont="1" applyFill="1" applyBorder="1" applyAlignment="1">
      <alignment horizontal="center" vertical="center" wrapText="1"/>
    </xf>
    <xf numFmtId="172" fontId="6" fillId="0" borderId="52" xfId="11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vertical="center"/>
    </xf>
    <xf numFmtId="172" fontId="21" fillId="0" borderId="0" xfId="1" applyNumberFormat="1" applyFont="1" applyFill="1" applyBorder="1" applyAlignment="1">
      <alignment horizontal="center" vertical="center" wrapText="1"/>
    </xf>
    <xf numFmtId="0" fontId="31" fillId="0" borderId="24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172" fontId="17" fillId="0" borderId="14" xfId="13" applyNumberFormat="1" applyFont="1" applyFill="1" applyBorder="1" applyAlignment="1">
      <alignment horizontal="center" vertical="center" wrapText="1"/>
    </xf>
    <xf numFmtId="0" fontId="31" fillId="0" borderId="28" xfId="9" applyFont="1" applyFill="1" applyBorder="1" applyAlignment="1">
      <alignment horizontal="center" vertical="center" wrapText="1"/>
    </xf>
    <xf numFmtId="0" fontId="31" fillId="0" borderId="29" xfId="9" applyFont="1" applyFill="1" applyBorder="1" applyAlignment="1">
      <alignment horizontal="center" vertical="center" wrapText="1"/>
    </xf>
    <xf numFmtId="3" fontId="31" fillId="0" borderId="29" xfId="9" applyNumberFormat="1" applyFont="1" applyFill="1" applyBorder="1" applyAlignment="1">
      <alignment horizontal="right" vertical="center" wrapText="1"/>
    </xf>
    <xf numFmtId="172" fontId="31" fillId="0" borderId="29" xfId="9" applyNumberFormat="1" applyFont="1" applyFill="1" applyBorder="1" applyAlignment="1">
      <alignment horizontal="center" vertical="center" wrapText="1"/>
    </xf>
    <xf numFmtId="173" fontId="31" fillId="0" borderId="29" xfId="9" applyNumberFormat="1" applyFont="1" applyFill="1" applyBorder="1" applyAlignment="1">
      <alignment horizontal="center" vertical="center" wrapText="1"/>
    </xf>
    <xf numFmtId="4" fontId="31" fillId="0" borderId="29" xfId="9" applyNumberFormat="1" applyFont="1" applyFill="1" applyBorder="1" applyAlignment="1">
      <alignment horizontal="center" vertical="center" wrapText="1"/>
    </xf>
    <xf numFmtId="172" fontId="17" fillId="0" borderId="24" xfId="1" applyNumberFormat="1" applyFont="1" applyFill="1" applyBorder="1" applyAlignment="1">
      <alignment horizontal="center" vertical="center" wrapText="1"/>
    </xf>
    <xf numFmtId="0" fontId="6" fillId="41" borderId="21" xfId="11" applyFont="1" applyFill="1" applyBorder="1" applyAlignment="1">
      <alignment horizontal="center" vertical="center" wrapText="1"/>
    </xf>
    <xf numFmtId="0" fontId="6" fillId="41" borderId="14" xfId="1" applyFont="1" applyFill="1" applyBorder="1" applyAlignment="1">
      <alignment horizontal="justify" vertical="center" wrapText="1"/>
    </xf>
    <xf numFmtId="0" fontId="6" fillId="41" borderId="14" xfId="11" applyFont="1" applyFill="1" applyBorder="1" applyAlignment="1">
      <alignment horizontal="center" vertical="center" wrapText="1"/>
    </xf>
    <xf numFmtId="172" fontId="6" fillId="41" borderId="17" xfId="11" applyNumberFormat="1" applyFont="1" applyFill="1" applyBorder="1" applyAlignment="1">
      <alignment horizontal="center" vertical="center" wrapText="1"/>
    </xf>
    <xf numFmtId="173" fontId="6" fillId="41" borderId="14" xfId="1" applyNumberFormat="1" applyFont="1" applyFill="1" applyBorder="1" applyAlignment="1">
      <alignment vertical="center" wrapText="1"/>
    </xf>
    <xf numFmtId="4" fontId="6" fillId="41" borderId="14" xfId="1" applyNumberFormat="1" applyFont="1" applyFill="1" applyBorder="1" applyAlignment="1">
      <alignment vertical="center" wrapText="1"/>
    </xf>
    <xf numFmtId="4" fontId="6" fillId="41" borderId="22" xfId="1" applyNumberFormat="1" applyFont="1" applyFill="1" applyBorder="1" applyAlignment="1">
      <alignment vertical="center" wrapText="1"/>
    </xf>
    <xf numFmtId="0" fontId="3" fillId="41" borderId="21" xfId="11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vertical="center" wrapText="1"/>
    </xf>
    <xf numFmtId="0" fontId="3" fillId="41" borderId="14" xfId="11" applyFont="1" applyFill="1" applyBorder="1" applyAlignment="1">
      <alignment horizontal="center" vertical="center" wrapText="1"/>
    </xf>
    <xf numFmtId="172" fontId="3" fillId="41" borderId="17" xfId="11" applyNumberFormat="1" applyFont="1" applyFill="1" applyBorder="1" applyAlignment="1">
      <alignment horizontal="center" vertical="center" wrapText="1"/>
    </xf>
    <xf numFmtId="173" fontId="3" fillId="41" borderId="14" xfId="11" applyNumberFormat="1" applyFont="1" applyFill="1" applyBorder="1" applyAlignment="1">
      <alignment vertical="center" wrapText="1"/>
    </xf>
    <xf numFmtId="4" fontId="3" fillId="41" borderId="14" xfId="11" applyNumberFormat="1" applyFont="1" applyFill="1" applyBorder="1" applyAlignment="1">
      <alignment vertical="center" wrapText="1"/>
    </xf>
    <xf numFmtId="4" fontId="3" fillId="41" borderId="22" xfId="11" applyNumberFormat="1" applyFont="1" applyFill="1" applyBorder="1" applyAlignment="1">
      <alignment vertical="center" wrapText="1"/>
    </xf>
    <xf numFmtId="172" fontId="3" fillId="41" borderId="14" xfId="11" applyNumberFormat="1" applyFont="1" applyFill="1" applyBorder="1" applyAlignment="1">
      <alignment horizontal="center" vertical="center" wrapText="1"/>
    </xf>
    <xf numFmtId="0" fontId="6" fillId="41" borderId="21" xfId="11" applyFont="1" applyFill="1" applyBorder="1" applyAlignment="1">
      <alignment horizontal="center" vertical="center"/>
    </xf>
    <xf numFmtId="0" fontId="6" fillId="41" borderId="14" xfId="11" applyFont="1" applyFill="1" applyBorder="1" applyAlignment="1">
      <alignment vertical="center" wrapText="1"/>
    </xf>
    <xf numFmtId="172" fontId="6" fillId="41" borderId="14" xfId="11" applyNumberFormat="1" applyFont="1" applyFill="1" applyBorder="1" applyAlignment="1">
      <alignment horizontal="center" vertical="center" wrapText="1"/>
    </xf>
    <xf numFmtId="173" fontId="6" fillId="41" borderId="14" xfId="11" applyNumberFormat="1" applyFont="1" applyFill="1" applyBorder="1" applyAlignment="1">
      <alignment vertical="center" wrapText="1"/>
    </xf>
    <xf numFmtId="4" fontId="6" fillId="41" borderId="14" xfId="11" applyNumberFormat="1" applyFont="1" applyFill="1" applyBorder="1" applyAlignment="1">
      <alignment vertical="center" wrapText="1"/>
    </xf>
    <xf numFmtId="4" fontId="6" fillId="41" borderId="22" xfId="11" applyNumberFormat="1" applyFont="1" applyFill="1" applyBorder="1" applyAlignment="1">
      <alignment vertical="center" wrapText="1"/>
    </xf>
    <xf numFmtId="0" fontId="3" fillId="41" borderId="21" xfId="1" applyFont="1" applyFill="1" applyBorder="1" applyAlignment="1">
      <alignment horizontal="center" vertical="center" wrapText="1"/>
    </xf>
    <xf numFmtId="0" fontId="3" fillId="41" borderId="14" xfId="1" applyFont="1" applyFill="1" applyBorder="1" applyAlignment="1">
      <alignment vertical="center" wrapText="1"/>
    </xf>
    <xf numFmtId="0" fontId="3" fillId="41" borderId="14" xfId="1" applyFont="1" applyFill="1" applyBorder="1" applyAlignment="1">
      <alignment horizontal="center" vertical="center" wrapText="1"/>
    </xf>
    <xf numFmtId="172" fontId="3" fillId="41" borderId="14" xfId="1" applyNumberFormat="1" applyFont="1" applyFill="1" applyBorder="1" applyAlignment="1">
      <alignment horizontal="center" vertical="center" wrapText="1"/>
    </xf>
    <xf numFmtId="173" fontId="3" fillId="41" borderId="14" xfId="1" applyNumberFormat="1" applyFont="1" applyFill="1" applyBorder="1" applyAlignment="1">
      <alignment vertical="center" wrapText="1"/>
    </xf>
    <xf numFmtId="4" fontId="3" fillId="41" borderId="14" xfId="1" applyNumberFormat="1" applyFont="1" applyFill="1" applyBorder="1" applyAlignment="1">
      <alignment vertical="center" wrapText="1"/>
    </xf>
    <xf numFmtId="4" fontId="3" fillId="41" borderId="22" xfId="1" applyNumberFormat="1" applyFont="1" applyFill="1" applyBorder="1" applyAlignment="1">
      <alignment vertical="center" wrapText="1"/>
    </xf>
    <xf numFmtId="0" fontId="3" fillId="41" borderId="14" xfId="0" applyFont="1" applyFill="1" applyBorder="1" applyAlignment="1">
      <alignment horizontal="justify" vertical="center" wrapText="1"/>
    </xf>
    <xf numFmtId="4" fontId="3" fillId="41" borderId="14" xfId="0" applyNumberFormat="1" applyFont="1" applyFill="1" applyBorder="1" applyAlignment="1">
      <alignment vertical="center" wrapText="1"/>
    </xf>
    <xf numFmtId="0" fontId="6" fillId="41" borderId="14" xfId="0" applyFont="1" applyFill="1" applyBorder="1" applyAlignment="1">
      <alignment horizontal="justify" vertical="center" wrapText="1"/>
    </xf>
    <xf numFmtId="4" fontId="6" fillId="41" borderId="14" xfId="0" applyNumberFormat="1" applyFont="1" applyFill="1" applyBorder="1" applyAlignment="1">
      <alignment vertical="center" wrapText="1"/>
    </xf>
    <xf numFmtId="0" fontId="6" fillId="41" borderId="14" xfId="0" applyFont="1" applyFill="1" applyBorder="1" applyAlignment="1">
      <alignment vertical="center" wrapText="1"/>
    </xf>
    <xf numFmtId="4" fontId="6" fillId="41" borderId="14" xfId="0" applyNumberFormat="1" applyFont="1" applyFill="1" applyBorder="1" applyAlignment="1">
      <alignment horizontal="center" vertical="center" wrapText="1"/>
    </xf>
    <xf numFmtId="172" fontId="6" fillId="41" borderId="14" xfId="0" applyNumberFormat="1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vertical="center"/>
    </xf>
    <xf numFmtId="0" fontId="3" fillId="41" borderId="24" xfId="0" applyFont="1" applyFill="1" applyBorder="1" applyAlignment="1">
      <alignment horizontal="center" vertical="center"/>
    </xf>
    <xf numFmtId="172" fontId="3" fillId="41" borderId="14" xfId="106" applyNumberFormat="1" applyFont="1" applyFill="1" applyBorder="1" applyAlignment="1">
      <alignment horizontal="center" vertical="center" wrapText="1"/>
    </xf>
    <xf numFmtId="173" fontId="3" fillId="41" borderId="24" xfId="217" applyNumberFormat="1" applyFont="1" applyFill="1" applyBorder="1" applyAlignment="1">
      <alignment vertical="center"/>
    </xf>
    <xf numFmtId="0" fontId="17" fillId="41" borderId="21" xfId="11" applyFont="1" applyFill="1" applyBorder="1" applyAlignment="1">
      <alignment horizontal="center" vertical="center"/>
    </xf>
    <xf numFmtId="0" fontId="3" fillId="41" borderId="14" xfId="11" applyFont="1" applyFill="1" applyBorder="1" applyAlignment="1">
      <alignment horizontal="left" vertical="center" wrapText="1"/>
    </xf>
    <xf numFmtId="0" fontId="31" fillId="41" borderId="28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3" fontId="5" fillId="41" borderId="29" xfId="76" applyNumberFormat="1" applyFont="1" applyFill="1" applyBorder="1" applyAlignment="1">
      <alignment horizontal="center" vertical="center" wrapText="1"/>
    </xf>
    <xf numFmtId="172" fontId="5" fillId="41" borderId="29" xfId="0" applyNumberFormat="1" applyFont="1" applyFill="1" applyBorder="1" applyAlignment="1">
      <alignment horizontal="center" vertical="center" wrapText="1"/>
    </xf>
    <xf numFmtId="173" fontId="5" fillId="41" borderId="29" xfId="0" applyNumberFormat="1" applyFont="1" applyFill="1" applyBorder="1" applyAlignment="1">
      <alignment horizontal="center" vertical="center" wrapText="1"/>
    </xf>
    <xf numFmtId="4" fontId="5" fillId="41" borderId="29" xfId="0" applyNumberFormat="1" applyFont="1" applyFill="1" applyBorder="1" applyAlignment="1">
      <alignment horizontal="center" vertical="center" wrapText="1"/>
    </xf>
    <xf numFmtId="4" fontId="5" fillId="41" borderId="30" xfId="0" applyNumberFormat="1" applyFont="1" applyFill="1" applyBorder="1" applyAlignment="1">
      <alignment horizontal="center" vertical="center" wrapText="1"/>
    </xf>
    <xf numFmtId="0" fontId="41" fillId="41" borderId="0" xfId="0" applyFont="1" applyFill="1"/>
    <xf numFmtId="172" fontId="41" fillId="41" borderId="0" xfId="0" applyNumberFormat="1" applyFont="1" applyFill="1"/>
    <xf numFmtId="173" fontId="41" fillId="41" borderId="0" xfId="0" applyNumberFormat="1" applyFont="1" applyFill="1"/>
    <xf numFmtId="0" fontId="6" fillId="41" borderId="21" xfId="1" applyFont="1" applyFill="1" applyBorder="1" applyAlignment="1">
      <alignment horizontal="center" vertical="center" wrapText="1"/>
    </xf>
    <xf numFmtId="0" fontId="6" fillId="41" borderId="14" xfId="1" applyFont="1" applyFill="1" applyBorder="1" applyAlignment="1">
      <alignment vertical="center" wrapText="1"/>
    </xf>
    <xf numFmtId="0" fontId="6" fillId="41" borderId="14" xfId="1" applyFont="1" applyFill="1" applyBorder="1" applyAlignment="1">
      <alignment horizontal="center" vertical="center" wrapText="1"/>
    </xf>
    <xf numFmtId="172" fontId="6" fillId="41" borderId="14" xfId="1" applyNumberFormat="1" applyFont="1" applyFill="1" applyBorder="1" applyAlignment="1">
      <alignment horizontal="center" vertical="center" wrapText="1"/>
    </xf>
    <xf numFmtId="0" fontId="6" fillId="41" borderId="14" xfId="1" applyFont="1" applyFill="1" applyBorder="1" applyAlignment="1">
      <alignment horizontal="left" vertical="center" wrapText="1"/>
    </xf>
    <xf numFmtId="180" fontId="6" fillId="41" borderId="14" xfId="216" applyNumberFormat="1" applyFont="1" applyFill="1" applyBorder="1" applyAlignment="1">
      <alignment horizontal="center" vertical="center"/>
    </xf>
    <xf numFmtId="172" fontId="6" fillId="41" borderId="14" xfId="216" applyNumberFormat="1" applyFont="1" applyFill="1" applyBorder="1" applyAlignment="1">
      <alignment horizontal="center" vertical="center"/>
    </xf>
    <xf numFmtId="0" fontId="6" fillId="41" borderId="27" xfId="1" applyFont="1" applyFill="1" applyBorder="1" applyAlignment="1">
      <alignment horizontal="center" vertical="center" wrapText="1"/>
    </xf>
    <xf numFmtId="0" fontId="6" fillId="41" borderId="17" xfId="1" applyFont="1" applyFill="1" applyBorder="1" applyAlignment="1">
      <alignment vertical="center" wrapText="1"/>
    </xf>
    <xf numFmtId="0" fontId="6" fillId="41" borderId="17" xfId="1" applyFont="1" applyFill="1" applyBorder="1" applyAlignment="1">
      <alignment horizontal="center" vertical="center" wrapText="1"/>
    </xf>
    <xf numFmtId="172" fontId="6" fillId="41" borderId="17" xfId="1" applyNumberFormat="1" applyFont="1" applyFill="1" applyBorder="1" applyAlignment="1">
      <alignment horizontal="center" vertical="center" wrapText="1"/>
    </xf>
    <xf numFmtId="4" fontId="6" fillId="41" borderId="14" xfId="1" applyNumberFormat="1" applyFont="1" applyFill="1" applyBorder="1" applyAlignment="1">
      <alignment horizontal="center" vertical="center" wrapText="1"/>
    </xf>
    <xf numFmtId="173" fontId="6" fillId="41" borderId="14" xfId="0" applyNumberFormat="1" applyFont="1" applyFill="1" applyBorder="1" applyAlignment="1">
      <alignment vertical="center" wrapText="1"/>
    </xf>
    <xf numFmtId="0" fontId="6" fillId="41" borderId="2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vertical="center"/>
    </xf>
    <xf numFmtId="0" fontId="6" fillId="41" borderId="24" xfId="0" applyFont="1" applyFill="1" applyBorder="1" applyAlignment="1">
      <alignment horizontal="center" vertical="center"/>
    </xf>
    <xf numFmtId="173" fontId="6" fillId="41" borderId="24" xfId="2" applyNumberFormat="1" applyFont="1" applyFill="1" applyBorder="1" applyAlignment="1">
      <alignment vertical="center"/>
    </xf>
    <xf numFmtId="0" fontId="6" fillId="41" borderId="14" xfId="11" applyFont="1" applyFill="1" applyBorder="1" applyAlignment="1">
      <alignment horizontal="left" vertical="center" wrapText="1"/>
    </xf>
    <xf numFmtId="0" fontId="21" fillId="41" borderId="28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3" fontId="21" fillId="41" borderId="29" xfId="76" applyNumberFormat="1" applyFont="1" applyFill="1" applyBorder="1" applyAlignment="1">
      <alignment horizontal="center" vertical="center" wrapText="1"/>
    </xf>
    <xf numFmtId="172" fontId="21" fillId="41" borderId="29" xfId="0" applyNumberFormat="1" applyFont="1" applyFill="1" applyBorder="1" applyAlignment="1">
      <alignment horizontal="center" vertical="center" wrapText="1"/>
    </xf>
    <xf numFmtId="173" fontId="21" fillId="41" borderId="29" xfId="0" applyNumberFormat="1" applyFont="1" applyFill="1" applyBorder="1" applyAlignment="1">
      <alignment horizontal="center" vertical="center" wrapText="1"/>
    </xf>
    <xf numFmtId="4" fontId="21" fillId="41" borderId="29" xfId="0" applyNumberFormat="1" applyFont="1" applyFill="1" applyBorder="1" applyAlignment="1">
      <alignment horizontal="center" vertical="center" wrapText="1"/>
    </xf>
    <xf numFmtId="4" fontId="21" fillId="41" borderId="30" xfId="0" applyNumberFormat="1" applyFont="1" applyFill="1" applyBorder="1" applyAlignment="1">
      <alignment horizontal="center" vertical="center" wrapText="1"/>
    </xf>
    <xf numFmtId="0" fontId="3" fillId="41" borderId="14" xfId="1" applyFont="1" applyFill="1" applyBorder="1" applyAlignment="1">
      <alignment horizontal="left" vertical="center" wrapText="1"/>
    </xf>
    <xf numFmtId="0" fontId="5" fillId="41" borderId="28" xfId="9" applyFont="1" applyFill="1" applyBorder="1" applyAlignment="1">
      <alignment horizontal="center" vertical="center" wrapText="1"/>
    </xf>
    <xf numFmtId="0" fontId="5" fillId="41" borderId="29" xfId="9" applyFont="1" applyFill="1" applyBorder="1" applyAlignment="1">
      <alignment horizontal="center" vertical="center" wrapText="1"/>
    </xf>
    <xf numFmtId="3" fontId="5" fillId="41" borderId="29" xfId="9" applyNumberFormat="1" applyFont="1" applyFill="1" applyBorder="1" applyAlignment="1">
      <alignment horizontal="right" vertical="center" wrapText="1"/>
    </xf>
    <xf numFmtId="172" fontId="5" fillId="41" borderId="29" xfId="9" applyNumberFormat="1" applyFont="1" applyFill="1" applyBorder="1" applyAlignment="1">
      <alignment horizontal="center" vertical="center" wrapText="1"/>
    </xf>
    <xf numFmtId="173" fontId="5" fillId="41" borderId="29" xfId="9" applyNumberFormat="1" applyFont="1" applyFill="1" applyBorder="1" applyAlignment="1">
      <alignment horizontal="center" vertical="center" wrapText="1"/>
    </xf>
    <xf numFmtId="4" fontId="5" fillId="41" borderId="29" xfId="9" applyNumberFormat="1" applyFont="1" applyFill="1" applyBorder="1" applyAlignment="1">
      <alignment horizontal="center" vertical="center" wrapText="1"/>
    </xf>
    <xf numFmtId="4" fontId="5" fillId="41" borderId="30" xfId="9" applyNumberFormat="1" applyFont="1" applyFill="1" applyBorder="1" applyAlignment="1">
      <alignment horizontal="center" vertical="center" wrapText="1"/>
    </xf>
    <xf numFmtId="4" fontId="6" fillId="41" borderId="20" xfId="1" applyNumberFormat="1" applyFont="1" applyFill="1" applyBorder="1" applyAlignment="1">
      <alignment vertical="center" wrapText="1"/>
    </xf>
    <xf numFmtId="173" fontId="6" fillId="41" borderId="17" xfId="1" applyNumberFormat="1" applyFont="1" applyFill="1" applyBorder="1" applyAlignment="1">
      <alignment vertical="center" wrapText="1"/>
    </xf>
    <xf numFmtId="4" fontId="6" fillId="41" borderId="19" xfId="1" applyNumberFormat="1" applyFont="1" applyFill="1" applyBorder="1" applyAlignment="1">
      <alignment vertical="center" wrapText="1"/>
    </xf>
    <xf numFmtId="0" fontId="3" fillId="41" borderId="27" xfId="1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3" fillId="41" borderId="26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vertical="center"/>
    </xf>
    <xf numFmtId="172" fontId="3" fillId="41" borderId="26" xfId="0" applyNumberFormat="1" applyFont="1" applyFill="1" applyBorder="1" applyAlignment="1">
      <alignment horizontal="center" vertical="center"/>
    </xf>
    <xf numFmtId="173" fontId="3" fillId="41" borderId="26" xfId="0" applyNumberFormat="1" applyFont="1" applyFill="1" applyBorder="1" applyAlignment="1">
      <alignment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vertical="center"/>
    </xf>
    <xf numFmtId="0" fontId="3" fillId="41" borderId="19" xfId="0" applyFont="1" applyFill="1" applyBorder="1" applyAlignment="1">
      <alignment horizontal="center" vertical="center"/>
    </xf>
    <xf numFmtId="172" fontId="3" fillId="41" borderId="19" xfId="0" applyNumberFormat="1" applyFont="1" applyFill="1" applyBorder="1" applyAlignment="1">
      <alignment horizontal="center" vertical="center"/>
    </xf>
    <xf numFmtId="173" fontId="3" fillId="41" borderId="19" xfId="0" applyNumberFormat="1" applyFont="1" applyFill="1" applyBorder="1" applyAlignment="1">
      <alignment vertical="center"/>
    </xf>
    <xf numFmtId="4" fontId="3" fillId="41" borderId="19" xfId="0" applyNumberFormat="1" applyFont="1" applyFill="1" applyBorder="1" applyAlignment="1">
      <alignment vertical="center"/>
    </xf>
    <xf numFmtId="4" fontId="3" fillId="41" borderId="20" xfId="0" applyNumberFormat="1" applyFont="1" applyFill="1" applyBorder="1" applyAlignment="1">
      <alignment vertical="center"/>
    </xf>
    <xf numFmtId="0" fontId="3" fillId="41" borderId="21" xfId="0" applyFont="1" applyFill="1" applyBorder="1" applyAlignment="1">
      <alignment horizontal="center" vertical="center"/>
    </xf>
    <xf numFmtId="0" fontId="3" fillId="41" borderId="17" xfId="1" applyFont="1" applyFill="1" applyBorder="1" applyAlignment="1">
      <alignment vertical="center" wrapText="1"/>
    </xf>
    <xf numFmtId="0" fontId="3" fillId="41" borderId="14" xfId="0" applyFont="1" applyFill="1" applyBorder="1" applyAlignment="1">
      <alignment horizontal="center" vertical="center"/>
    </xf>
    <xf numFmtId="172" fontId="3" fillId="41" borderId="14" xfId="216" applyNumberFormat="1" applyFont="1" applyFill="1" applyBorder="1" applyAlignment="1">
      <alignment horizontal="center" vertical="center"/>
    </xf>
    <xf numFmtId="4" fontId="3" fillId="41" borderId="14" xfId="0" applyNumberFormat="1" applyFont="1" applyFill="1" applyBorder="1" applyAlignment="1">
      <alignment vertical="center"/>
    </xf>
    <xf numFmtId="4" fontId="3" fillId="41" borderId="22" xfId="0" applyNumberFormat="1" applyFont="1" applyFill="1" applyBorder="1" applyAlignment="1">
      <alignment vertical="center"/>
    </xf>
    <xf numFmtId="0" fontId="3" fillId="41" borderId="14" xfId="0" applyFont="1" applyFill="1" applyBorder="1" applyAlignment="1">
      <alignment vertical="center"/>
    </xf>
    <xf numFmtId="172" fontId="3" fillId="41" borderId="14" xfId="0" applyNumberFormat="1" applyFont="1" applyFill="1" applyBorder="1" applyAlignment="1">
      <alignment horizontal="center" vertical="center"/>
    </xf>
    <xf numFmtId="173" fontId="3" fillId="41" borderId="14" xfId="0" applyNumberFormat="1" applyFont="1" applyFill="1" applyBorder="1" applyAlignment="1">
      <alignment vertical="center"/>
    </xf>
    <xf numFmtId="0" fontId="5" fillId="41" borderId="28" xfId="0" applyFont="1" applyFill="1" applyBorder="1" applyAlignment="1">
      <alignment horizontal="center" vertical="center" wrapText="1"/>
    </xf>
    <xf numFmtId="3" fontId="5" fillId="41" borderId="29" xfId="0" applyNumberFormat="1" applyFont="1" applyFill="1" applyBorder="1" applyAlignment="1">
      <alignment horizontal="right" vertical="center" wrapText="1"/>
    </xf>
    <xf numFmtId="4" fontId="5" fillId="41" borderId="29" xfId="0" applyNumberFormat="1" applyFont="1" applyFill="1" applyBorder="1" applyAlignment="1">
      <alignment horizontal="center" vertical="center"/>
    </xf>
    <xf numFmtId="4" fontId="5" fillId="41" borderId="30" xfId="0" applyNumberFormat="1" applyFont="1" applyFill="1" applyBorder="1" applyAlignment="1">
      <alignment horizontal="center" vertical="center"/>
    </xf>
    <xf numFmtId="0" fontId="0" fillId="41" borderId="0" xfId="0" applyFont="1" applyFill="1"/>
    <xf numFmtId="172" fontId="0" fillId="41" borderId="0" xfId="0" applyNumberFormat="1" applyFont="1" applyFill="1"/>
    <xf numFmtId="173" fontId="0" fillId="41" borderId="0" xfId="0" applyNumberFormat="1" applyFont="1" applyFill="1"/>
    <xf numFmtId="0" fontId="3" fillId="41" borderId="18" xfId="0" applyFont="1" applyFill="1" applyBorder="1" applyAlignment="1">
      <alignment vertical="center"/>
    </xf>
    <xf numFmtId="39" fontId="3" fillId="41" borderId="19" xfId="0" applyNumberFormat="1" applyFont="1" applyFill="1" applyBorder="1" applyAlignment="1" applyProtection="1">
      <alignment horizontal="justify" vertical="center"/>
    </xf>
    <xf numFmtId="39" fontId="3" fillId="41" borderId="19" xfId="0" applyNumberFormat="1" applyFont="1" applyFill="1" applyBorder="1" applyAlignment="1" applyProtection="1">
      <alignment horizontal="center" vertical="center"/>
    </xf>
    <xf numFmtId="176" fontId="3" fillId="41" borderId="19" xfId="0" applyNumberFormat="1" applyFont="1" applyFill="1" applyBorder="1" applyAlignment="1">
      <alignment vertical="center"/>
    </xf>
    <xf numFmtId="176" fontId="3" fillId="41" borderId="20" xfId="0" applyNumberFormat="1" applyFont="1" applyFill="1" applyBorder="1" applyAlignment="1">
      <alignment vertical="center"/>
    </xf>
    <xf numFmtId="0" fontId="3" fillId="41" borderId="21" xfId="0" applyFont="1" applyFill="1" applyBorder="1" applyAlignment="1">
      <alignment vertical="center"/>
    </xf>
    <xf numFmtId="39" fontId="3" fillId="41" borderId="14" xfId="0" applyNumberFormat="1" applyFont="1" applyFill="1" applyBorder="1" applyAlignment="1" applyProtection="1">
      <alignment horizontal="justify" vertical="center"/>
    </xf>
    <xf numFmtId="39" fontId="3" fillId="41" borderId="14" xfId="0" applyNumberFormat="1" applyFont="1" applyFill="1" applyBorder="1" applyAlignment="1" applyProtection="1">
      <alignment horizontal="center" vertical="center"/>
    </xf>
    <xf numFmtId="176" fontId="3" fillId="41" borderId="14" xfId="0" applyNumberFormat="1" applyFont="1" applyFill="1" applyBorder="1" applyAlignment="1">
      <alignment vertical="center"/>
    </xf>
    <xf numFmtId="176" fontId="3" fillId="41" borderId="22" xfId="0" applyNumberFormat="1" applyFont="1" applyFill="1" applyBorder="1" applyAlignment="1">
      <alignment vertical="center"/>
    </xf>
    <xf numFmtId="172" fontId="3" fillId="41" borderId="14" xfId="0" applyNumberFormat="1" applyFont="1" applyFill="1" applyBorder="1" applyAlignment="1">
      <alignment vertical="center"/>
    </xf>
    <xf numFmtId="0" fontId="3" fillId="41" borderId="22" xfId="0" applyFont="1" applyFill="1" applyBorder="1" applyAlignment="1">
      <alignment vertical="center"/>
    </xf>
    <xf numFmtId="172" fontId="5" fillId="41" borderId="29" xfId="0" applyNumberFormat="1" applyFont="1" applyFill="1" applyBorder="1" applyAlignment="1" applyProtection="1">
      <alignment horizontal="center" vertical="center"/>
    </xf>
    <xf numFmtId="173" fontId="3" fillId="41" borderId="29" xfId="0" applyNumberFormat="1" applyFont="1" applyFill="1" applyBorder="1" applyAlignment="1" applyProtection="1">
      <alignment vertical="center"/>
    </xf>
    <xf numFmtId="0" fontId="3" fillId="41" borderId="21" xfId="11" applyFont="1" applyFill="1" applyBorder="1" applyAlignment="1">
      <alignment horizontal="center" vertical="center" wrapText="1"/>
    </xf>
    <xf numFmtId="0" fontId="3" fillId="41" borderId="14" xfId="1" applyFont="1" applyFill="1" applyBorder="1" applyAlignment="1">
      <alignment horizontal="justify" vertical="center" wrapText="1"/>
    </xf>
    <xf numFmtId="182" fontId="3" fillId="41" borderId="17" xfId="11" applyNumberFormat="1" applyFont="1" applyFill="1" applyBorder="1" applyAlignment="1">
      <alignment horizontal="center" vertical="center" wrapText="1"/>
    </xf>
    <xf numFmtId="182" fontId="6" fillId="41" borderId="17" xfId="11" applyNumberFormat="1" applyFont="1" applyFill="1" applyBorder="1" applyAlignment="1">
      <alignment horizontal="center" vertical="center" wrapText="1"/>
    </xf>
    <xf numFmtId="0" fontId="3" fillId="41" borderId="17" xfId="1" applyFont="1" applyFill="1" applyBorder="1" applyAlignment="1">
      <alignment horizontal="center" vertical="center" wrapText="1"/>
    </xf>
    <xf numFmtId="0" fontId="55" fillId="0" borderId="0" xfId="0" applyFont="1" applyBorder="1"/>
    <xf numFmtId="177" fontId="64" fillId="0" borderId="0" xfId="0" applyNumberFormat="1" applyFont="1" applyAlignment="1">
      <alignment vertical="center" wrapText="1"/>
    </xf>
    <xf numFmtId="0" fontId="64" fillId="0" borderId="0" xfId="0" applyFont="1" applyAlignment="1">
      <alignment vertical="center" wrapText="1"/>
    </xf>
    <xf numFmtId="9" fontId="65" fillId="0" borderId="83" xfId="0" applyNumberFormat="1" applyFont="1" applyBorder="1" applyAlignment="1">
      <alignment horizontal="right" vertical="center" wrapText="1"/>
    </xf>
    <xf numFmtId="170" fontId="64" fillId="0" borderId="0" xfId="0" applyNumberFormat="1" applyFont="1" applyAlignment="1">
      <alignment vertical="center" wrapText="1"/>
    </xf>
    <xf numFmtId="165" fontId="64" fillId="0" borderId="0" xfId="2" applyFont="1" applyAlignment="1">
      <alignment vertical="center" wrapText="1"/>
    </xf>
    <xf numFmtId="0" fontId="63" fillId="40" borderId="14" xfId="0" applyFont="1" applyFill="1" applyBorder="1" applyAlignment="1">
      <alignment horizontal="center" vertical="center" wrapText="1"/>
    </xf>
    <xf numFmtId="0" fontId="66" fillId="40" borderId="1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2" fontId="64" fillId="0" borderId="14" xfId="0" applyNumberFormat="1" applyFont="1" applyBorder="1" applyAlignment="1">
      <alignment horizontal="center" vertical="center" wrapText="1"/>
    </xf>
    <xf numFmtId="190" fontId="64" fillId="0" borderId="14" xfId="4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40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41" borderId="0" xfId="0" applyFont="1" applyFill="1" applyAlignment="1">
      <alignment vertical="center" wrapText="1"/>
    </xf>
    <xf numFmtId="0" fontId="65" fillId="41" borderId="0" xfId="0" applyFont="1" applyFill="1" applyAlignment="1">
      <alignment vertical="center" wrapText="1"/>
    </xf>
    <xf numFmtId="170" fontId="65" fillId="41" borderId="0" xfId="0" applyNumberFormat="1" applyFont="1" applyFill="1" applyAlignment="1">
      <alignment vertical="center" wrapText="1"/>
    </xf>
    <xf numFmtId="0" fontId="65" fillId="41" borderId="84" xfId="0" applyFont="1" applyFill="1" applyBorder="1" applyAlignment="1">
      <alignment vertical="center" wrapText="1"/>
    </xf>
    <xf numFmtId="170" fontId="65" fillId="41" borderId="85" xfId="0" applyNumberFormat="1" applyFont="1" applyFill="1" applyBorder="1" applyAlignment="1">
      <alignment vertical="center" wrapText="1"/>
    </xf>
    <xf numFmtId="170" fontId="64" fillId="41" borderId="0" xfId="0" applyNumberFormat="1" applyFont="1" applyFill="1" applyAlignment="1">
      <alignment vertical="center" wrapText="1"/>
    </xf>
    <xf numFmtId="165" fontId="64" fillId="41" borderId="0" xfId="2" applyFont="1" applyFill="1" applyAlignment="1">
      <alignment vertical="center" wrapText="1"/>
    </xf>
    <xf numFmtId="190" fontId="64" fillId="0" borderId="0" xfId="0" applyNumberFormat="1" applyFont="1" applyAlignment="1">
      <alignment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164" fontId="64" fillId="0" borderId="0" xfId="0" applyNumberFormat="1" applyFont="1" applyAlignment="1">
      <alignment vertical="center" wrapText="1"/>
    </xf>
    <xf numFmtId="0" fontId="63" fillId="33" borderId="14" xfId="0" applyFont="1" applyFill="1" applyBorder="1" applyAlignment="1">
      <alignment horizontal="center" vertical="center" wrapText="1"/>
    </xf>
    <xf numFmtId="165" fontId="63" fillId="33" borderId="14" xfId="0" applyNumberFormat="1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 wrapText="1"/>
    </xf>
    <xf numFmtId="0" fontId="57" fillId="41" borderId="43" xfId="0" applyFont="1" applyFill="1" applyBorder="1" applyAlignment="1">
      <alignment horizontal="center" vertical="center" wrapText="1"/>
    </xf>
    <xf numFmtId="0" fontId="57" fillId="41" borderId="42" xfId="0" applyFont="1" applyFill="1" applyBorder="1" applyAlignment="1">
      <alignment horizontal="center" vertical="center" wrapText="1"/>
    </xf>
    <xf numFmtId="0" fontId="57" fillId="41" borderId="44" xfId="0" applyFont="1" applyFill="1" applyBorder="1" applyAlignment="1">
      <alignment horizontal="center" vertical="center" wrapText="1"/>
    </xf>
    <xf numFmtId="0" fontId="57" fillId="41" borderId="0" xfId="0" applyFont="1" applyFill="1" applyBorder="1" applyAlignment="1">
      <alignment horizontal="center" vertical="center" wrapText="1"/>
    </xf>
    <xf numFmtId="0" fontId="57" fillId="41" borderId="40" xfId="0" applyFont="1" applyFill="1" applyBorder="1" applyAlignment="1">
      <alignment horizontal="center" vertical="center" wrapText="1"/>
    </xf>
    <xf numFmtId="0" fontId="57" fillId="41" borderId="15" xfId="0" applyFont="1" applyFill="1" applyBorder="1" applyAlignment="1">
      <alignment horizontal="center" vertical="center" wrapText="1"/>
    </xf>
    <xf numFmtId="0" fontId="57" fillId="41" borderId="16" xfId="0" applyFont="1" applyFill="1" applyBorder="1" applyAlignment="1">
      <alignment horizontal="center" vertical="center" wrapText="1"/>
    </xf>
    <xf numFmtId="0" fontId="57" fillId="41" borderId="4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190" fontId="64" fillId="0" borderId="14" xfId="4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65" fontId="63" fillId="33" borderId="13" xfId="0" applyNumberFormat="1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63" fillId="40" borderId="12" xfId="0" applyFont="1" applyFill="1" applyBorder="1" applyAlignment="1">
      <alignment horizontal="center" vertical="center" wrapText="1"/>
    </xf>
    <xf numFmtId="0" fontId="63" fillId="40" borderId="13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left" vertical="center" wrapText="1"/>
    </xf>
    <xf numFmtId="0" fontId="66" fillId="40" borderId="12" xfId="0" applyFont="1" applyFill="1" applyBorder="1" applyAlignment="1">
      <alignment horizontal="left" vertical="center" wrapText="1"/>
    </xf>
    <xf numFmtId="190" fontId="66" fillId="40" borderId="12" xfId="0" applyNumberFormat="1" applyFont="1" applyFill="1" applyBorder="1" applyAlignment="1">
      <alignment horizontal="center" vertical="center" wrapText="1"/>
    </xf>
    <xf numFmtId="0" fontId="66" fillId="40" borderId="12" xfId="0" applyFont="1" applyFill="1" applyBorder="1" applyAlignment="1">
      <alignment horizontal="center" vertical="center" wrapText="1"/>
    </xf>
    <xf numFmtId="0" fontId="66" fillId="40" borderId="13" xfId="0" applyFont="1" applyFill="1" applyBorder="1" applyAlignment="1">
      <alignment horizontal="center" vertical="center" wrapText="1"/>
    </xf>
    <xf numFmtId="0" fontId="55" fillId="41" borderId="0" xfId="0" applyFont="1" applyFill="1" applyBorder="1" applyAlignment="1">
      <alignment horizontal="center"/>
    </xf>
    <xf numFmtId="0" fontId="55" fillId="41" borderId="40" xfId="0" applyFont="1" applyFill="1" applyBorder="1" applyAlignment="1">
      <alignment horizontal="center"/>
    </xf>
    <xf numFmtId="0" fontId="56" fillId="40" borderId="14" xfId="0" applyFont="1" applyFill="1" applyBorder="1" applyAlignment="1">
      <alignment horizontal="center" vertical="center"/>
    </xf>
    <xf numFmtId="0" fontId="55" fillId="41" borderId="14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left" vertical="center"/>
    </xf>
    <xf numFmtId="0" fontId="56" fillId="40" borderId="14" xfId="0" applyFont="1" applyFill="1" applyBorder="1" applyAlignment="1">
      <alignment horizontal="left" vertical="center" wrapText="1"/>
    </xf>
    <xf numFmtId="0" fontId="57" fillId="40" borderId="11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7" fillId="40" borderId="13" xfId="0" applyFont="1" applyFill="1" applyBorder="1" applyAlignment="1">
      <alignment horizontal="center" vertical="center"/>
    </xf>
    <xf numFmtId="165" fontId="57" fillId="40" borderId="11" xfId="0" applyNumberFormat="1" applyFont="1" applyFill="1" applyBorder="1" applyAlignment="1">
      <alignment horizontal="center" vertical="center"/>
    </xf>
    <xf numFmtId="165" fontId="57" fillId="40" borderId="12" xfId="0" applyNumberFormat="1" applyFont="1" applyFill="1" applyBorder="1" applyAlignment="1">
      <alignment horizontal="center" vertical="center"/>
    </xf>
    <xf numFmtId="165" fontId="57" fillId="40" borderId="13" xfId="0" applyNumberFormat="1" applyFont="1" applyFill="1" applyBorder="1" applyAlignment="1">
      <alignment horizontal="center" vertical="center"/>
    </xf>
    <xf numFmtId="0" fontId="58" fillId="40" borderId="11" xfId="0" applyFont="1" applyFill="1" applyBorder="1" applyAlignment="1">
      <alignment horizontal="center" vertical="center"/>
    </xf>
    <xf numFmtId="0" fontId="58" fillId="40" borderId="12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/>
    </xf>
    <xf numFmtId="0" fontId="55" fillId="41" borderId="12" xfId="0" applyFont="1" applyFill="1" applyBorder="1" applyAlignment="1">
      <alignment horizontal="center"/>
    </xf>
    <xf numFmtId="0" fontId="55" fillId="41" borderId="13" xfId="0" applyFont="1" applyFill="1" applyBorder="1" applyAlignment="1">
      <alignment horizontal="center"/>
    </xf>
    <xf numFmtId="0" fontId="56" fillId="40" borderId="14" xfId="0" applyFont="1" applyFill="1" applyBorder="1" applyAlignment="1">
      <alignment horizontal="left"/>
    </xf>
    <xf numFmtId="0" fontId="58" fillId="4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188" fontId="55" fillId="0" borderId="11" xfId="225" applyNumberFormat="1" applyFont="1" applyFill="1" applyBorder="1" applyAlignment="1">
      <alignment horizontal="center" vertical="center"/>
    </xf>
    <xf numFmtId="188" fontId="55" fillId="0" borderId="12" xfId="225" applyNumberFormat="1" applyFont="1" applyFill="1" applyBorder="1" applyAlignment="1">
      <alignment horizontal="center" vertical="center"/>
    </xf>
    <xf numFmtId="188" fontId="55" fillId="0" borderId="13" xfId="225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60" fillId="0" borderId="14" xfId="0" applyFont="1" applyBorder="1" applyAlignment="1">
      <alignment horizontal="left" vertical="center"/>
    </xf>
    <xf numFmtId="2" fontId="60" fillId="0" borderId="1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justify" vertical="top" wrapText="1"/>
    </xf>
    <xf numFmtId="0" fontId="56" fillId="40" borderId="11" xfId="0" applyFont="1" applyFill="1" applyBorder="1" applyAlignment="1">
      <alignment horizontal="center" vertical="center"/>
    </xf>
    <xf numFmtId="0" fontId="56" fillId="40" borderId="12" xfId="0" applyFont="1" applyFill="1" applyBorder="1" applyAlignment="1">
      <alignment horizontal="center" vertical="center"/>
    </xf>
    <xf numFmtId="0" fontId="56" fillId="40" borderId="13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5" fillId="0" borderId="11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 wrapText="1"/>
    </xf>
    <xf numFmtId="0" fontId="65" fillId="0" borderId="82" xfId="0" applyFont="1" applyBorder="1" applyAlignment="1">
      <alignment horizontal="right" vertical="center" wrapText="1"/>
    </xf>
    <xf numFmtId="187" fontId="65" fillId="0" borderId="11" xfId="2" applyNumberFormat="1" applyFont="1" applyBorder="1" applyAlignment="1">
      <alignment horizontal="center" vertical="center" wrapText="1"/>
    </xf>
    <xf numFmtId="187" fontId="65" fillId="0" borderId="12" xfId="2" applyNumberFormat="1" applyFont="1" applyBorder="1" applyAlignment="1">
      <alignment horizontal="center" vertical="center" wrapText="1"/>
    </xf>
    <xf numFmtId="187" fontId="65" fillId="0" borderId="13" xfId="2" applyNumberFormat="1" applyFont="1" applyBorder="1" applyAlignment="1">
      <alignment horizontal="center" vertical="center" wrapText="1"/>
    </xf>
    <xf numFmtId="169" fontId="63" fillId="33" borderId="14" xfId="0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5" fillId="33" borderId="11" xfId="1" applyFont="1" applyFill="1" applyBorder="1" applyAlignment="1">
      <alignment horizontal="center" vertical="center" wrapText="1"/>
    </xf>
    <xf numFmtId="0" fontId="5" fillId="33" borderId="12" xfId="1" applyFont="1" applyFill="1" applyBorder="1" applyAlignment="1">
      <alignment horizontal="center" vertical="center" wrapText="1"/>
    </xf>
    <xf numFmtId="0" fontId="5" fillId="33" borderId="13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wrapText="1"/>
    </xf>
    <xf numFmtId="0" fontId="5" fillId="0" borderId="43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44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40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41" xfId="1" applyFont="1" applyBorder="1" applyAlignment="1">
      <alignment horizont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43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left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justify" vertical="center" wrapText="1"/>
    </xf>
    <xf numFmtId="0" fontId="5" fillId="0" borderId="19" xfId="1" applyFont="1" applyFill="1" applyBorder="1" applyAlignment="1">
      <alignment horizontal="justify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justify" vertical="center" wrapText="1"/>
    </xf>
    <xf numFmtId="0" fontId="5" fillId="0" borderId="14" xfId="1" applyFont="1" applyFill="1" applyBorder="1" applyAlignment="1">
      <alignment horizontal="justify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172" fontId="5" fillId="0" borderId="14" xfId="1" applyNumberFormat="1" applyFont="1" applyFill="1" applyBorder="1" applyAlignment="1">
      <alignment horizontal="center" vertical="center" wrapText="1"/>
    </xf>
    <xf numFmtId="172" fontId="5" fillId="0" borderId="24" xfId="1" applyNumberFormat="1" applyFont="1" applyFill="1" applyBorder="1" applyAlignment="1">
      <alignment horizontal="center" vertical="center" wrapText="1"/>
    </xf>
    <xf numFmtId="173" fontId="5" fillId="0" borderId="14" xfId="1" applyNumberFormat="1" applyFont="1" applyFill="1" applyBorder="1" applyAlignment="1">
      <alignment horizontal="center" vertical="center" wrapText="1"/>
    </xf>
    <xf numFmtId="173" fontId="5" fillId="0" borderId="24" xfId="1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justify" vertical="center" wrapText="1"/>
    </xf>
    <xf numFmtId="0" fontId="21" fillId="0" borderId="19" xfId="1" applyFont="1" applyFill="1" applyBorder="1" applyAlignment="1">
      <alignment horizontal="justify" vertical="center" wrapText="1"/>
    </xf>
    <xf numFmtId="0" fontId="21" fillId="0" borderId="33" xfId="1" applyFont="1" applyFill="1" applyBorder="1" applyAlignment="1">
      <alignment horizontal="left" vertical="center" wrapText="1"/>
    </xf>
    <xf numFmtId="0" fontId="21" fillId="0" borderId="34" xfId="1" applyFont="1" applyFill="1" applyBorder="1" applyAlignment="1">
      <alignment horizontal="left" vertical="center" wrapText="1"/>
    </xf>
    <xf numFmtId="0" fontId="21" fillId="0" borderId="35" xfId="1" applyFont="1" applyFill="1" applyBorder="1" applyAlignment="1">
      <alignment horizontal="left" vertical="center" wrapText="1"/>
    </xf>
    <xf numFmtId="0" fontId="21" fillId="0" borderId="21" xfId="1" applyFont="1" applyFill="1" applyBorder="1" applyAlignment="1">
      <alignment horizontal="justify" vertical="center" wrapText="1"/>
    </xf>
    <xf numFmtId="0" fontId="21" fillId="0" borderId="14" xfId="1" applyFont="1" applyFill="1" applyBorder="1" applyAlignment="1">
      <alignment horizontal="justify" vertical="center" wrapText="1"/>
    </xf>
    <xf numFmtId="0" fontId="21" fillId="0" borderId="11" xfId="1" applyFont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center" wrapText="1"/>
    </xf>
    <xf numFmtId="0" fontId="21" fillId="0" borderId="37" xfId="1" applyFont="1" applyFill="1" applyBorder="1" applyAlignment="1">
      <alignment horizontal="left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horizontal="center" vertical="center" wrapText="1"/>
    </xf>
    <xf numFmtId="172" fontId="21" fillId="0" borderId="24" xfId="1" applyNumberFormat="1" applyFont="1" applyFill="1" applyBorder="1" applyAlignment="1">
      <alignment horizontal="center" vertical="center" wrapText="1"/>
    </xf>
    <xf numFmtId="172" fontId="21" fillId="0" borderId="39" xfId="1" applyNumberFormat="1" applyFont="1" applyFill="1" applyBorder="1" applyAlignment="1">
      <alignment horizontal="center" vertical="center" wrapText="1"/>
    </xf>
    <xf numFmtId="173" fontId="21" fillId="0" borderId="24" xfId="1" applyNumberFormat="1" applyFont="1" applyFill="1" applyBorder="1" applyAlignment="1">
      <alignment horizontal="center" vertical="center" wrapText="1"/>
    </xf>
    <xf numFmtId="173" fontId="21" fillId="0" borderId="39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37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justify" vertical="center" wrapText="1"/>
    </xf>
    <xf numFmtId="0" fontId="31" fillId="0" borderId="19" xfId="1" applyFont="1" applyFill="1" applyBorder="1" applyAlignment="1">
      <alignment horizontal="justify" vertical="center" wrapText="1"/>
    </xf>
    <xf numFmtId="0" fontId="31" fillId="0" borderId="33" xfId="9" applyFont="1" applyFill="1" applyBorder="1" applyAlignment="1">
      <alignment horizontal="left" vertical="center" wrapText="1"/>
    </xf>
    <xf numFmtId="0" fontId="31" fillId="0" borderId="34" xfId="9" applyFont="1" applyFill="1" applyBorder="1" applyAlignment="1">
      <alignment horizontal="left" vertical="center" wrapText="1"/>
    </xf>
    <xf numFmtId="0" fontId="31" fillId="0" borderId="35" xfId="9" applyFont="1" applyFill="1" applyBorder="1" applyAlignment="1">
      <alignment horizontal="left" vertical="center" wrapText="1"/>
    </xf>
    <xf numFmtId="0" fontId="31" fillId="0" borderId="21" xfId="1" applyFont="1" applyFill="1" applyBorder="1" applyAlignment="1">
      <alignment horizontal="justify" vertical="center" wrapText="1"/>
    </xf>
    <xf numFmtId="0" fontId="31" fillId="0" borderId="14" xfId="1" applyFont="1" applyFill="1" applyBorder="1" applyAlignment="1">
      <alignment horizontal="justify" vertical="center" wrapText="1"/>
    </xf>
    <xf numFmtId="0" fontId="31" fillId="0" borderId="11" xfId="9" applyFont="1" applyFill="1" applyBorder="1" applyAlignment="1">
      <alignment horizontal="left" vertical="center" wrapText="1"/>
    </xf>
    <xf numFmtId="0" fontId="31" fillId="0" borderId="12" xfId="9" applyFont="1" applyFill="1" applyBorder="1" applyAlignment="1">
      <alignment horizontal="left" vertical="center" wrapText="1"/>
    </xf>
    <xf numFmtId="0" fontId="31" fillId="0" borderId="37" xfId="9" applyFont="1" applyFill="1" applyBorder="1" applyAlignment="1">
      <alignment horizontal="left" vertical="center" wrapText="1"/>
    </xf>
    <xf numFmtId="0" fontId="31" fillId="0" borderId="11" xfId="1" applyFont="1" applyFill="1" applyBorder="1" applyAlignment="1">
      <alignment horizontal="left" vertical="center" wrapText="1"/>
    </xf>
    <xf numFmtId="0" fontId="31" fillId="0" borderId="12" xfId="1" applyFont="1" applyFill="1" applyBorder="1" applyAlignment="1">
      <alignment horizontal="left" vertical="center" wrapText="1"/>
    </xf>
    <xf numFmtId="0" fontId="31" fillId="0" borderId="37" xfId="1" applyFont="1" applyFill="1" applyBorder="1" applyAlignment="1">
      <alignment horizontal="left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 vertical="center" wrapText="1"/>
    </xf>
    <xf numFmtId="0" fontId="31" fillId="0" borderId="24" xfId="1" applyFont="1" applyFill="1" applyBorder="1" applyAlignment="1">
      <alignment horizontal="center" vertical="center" wrapText="1"/>
    </xf>
    <xf numFmtId="0" fontId="31" fillId="0" borderId="39" xfId="1" applyFont="1" applyFill="1" applyBorder="1" applyAlignment="1">
      <alignment horizontal="center" vertical="center" wrapText="1"/>
    </xf>
    <xf numFmtId="172" fontId="31" fillId="0" borderId="24" xfId="1" applyNumberFormat="1" applyFont="1" applyFill="1" applyBorder="1" applyAlignment="1">
      <alignment horizontal="center" vertical="center" wrapText="1"/>
    </xf>
    <xf numFmtId="172" fontId="31" fillId="0" borderId="39" xfId="1" applyNumberFormat="1" applyFont="1" applyFill="1" applyBorder="1" applyAlignment="1">
      <alignment horizontal="center" vertical="center" wrapText="1"/>
    </xf>
    <xf numFmtId="173" fontId="31" fillId="0" borderId="24" xfId="1" applyNumberFormat="1" applyFont="1" applyFill="1" applyBorder="1" applyAlignment="1">
      <alignment horizontal="center" vertical="center" wrapText="1"/>
    </xf>
    <xf numFmtId="173" fontId="31" fillId="0" borderId="39" xfId="1" applyNumberFormat="1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center" vertical="center" wrapText="1"/>
    </xf>
    <xf numFmtId="0" fontId="31" fillId="0" borderId="12" xfId="1" applyFont="1" applyFill="1" applyBorder="1" applyAlignment="1">
      <alignment horizontal="center" vertical="center" wrapText="1"/>
    </xf>
    <xf numFmtId="0" fontId="31" fillId="0" borderId="37" xfId="1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justify" vertical="center"/>
    </xf>
    <xf numFmtId="0" fontId="3" fillId="41" borderId="32" xfId="0" applyFont="1" applyFill="1" applyBorder="1" applyAlignment="1">
      <alignment vertical="center"/>
    </xf>
    <xf numFmtId="0" fontId="5" fillId="41" borderId="33" xfId="0" applyFont="1" applyFill="1" applyBorder="1" applyAlignment="1">
      <alignment horizontal="left" vertical="center"/>
    </xf>
    <xf numFmtId="0" fontId="5" fillId="41" borderId="34" xfId="0" applyFont="1" applyFill="1" applyBorder="1" applyAlignment="1">
      <alignment horizontal="left" vertical="center"/>
    </xf>
    <xf numFmtId="0" fontId="5" fillId="41" borderId="35" xfId="0" applyFont="1" applyFill="1" applyBorder="1" applyAlignment="1">
      <alignment horizontal="left" vertical="center"/>
    </xf>
    <xf numFmtId="0" fontId="5" fillId="41" borderId="36" xfId="0" applyFont="1" applyFill="1" applyBorder="1" applyAlignment="1">
      <alignment horizontal="justify" vertical="center"/>
    </xf>
    <xf numFmtId="0" fontId="3" fillId="41" borderId="13" xfId="0" applyFont="1" applyFill="1" applyBorder="1" applyAlignment="1">
      <alignment vertical="center"/>
    </xf>
    <xf numFmtId="0" fontId="5" fillId="41" borderId="11" xfId="0" applyFont="1" applyFill="1" applyBorder="1" applyAlignment="1">
      <alignment horizontal="left" vertical="center"/>
    </xf>
    <xf numFmtId="0" fontId="5" fillId="41" borderId="12" xfId="0" applyFont="1" applyFill="1" applyBorder="1" applyAlignment="1">
      <alignment horizontal="left" vertical="center"/>
    </xf>
    <xf numFmtId="0" fontId="5" fillId="41" borderId="37" xfId="0" applyFont="1" applyFill="1" applyBorder="1" applyAlignment="1">
      <alignment horizontal="left" vertical="center"/>
    </xf>
    <xf numFmtId="0" fontId="5" fillId="41" borderId="23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 wrapText="1"/>
    </xf>
    <xf numFmtId="0" fontId="3" fillId="41" borderId="39" xfId="0" applyFont="1" applyFill="1" applyBorder="1" applyAlignment="1">
      <alignment vertical="center"/>
    </xf>
    <xf numFmtId="0" fontId="5" fillId="41" borderId="39" xfId="0" applyFont="1" applyFill="1" applyBorder="1" applyAlignment="1">
      <alignment horizontal="center" vertical="center" wrapText="1"/>
    </xf>
    <xf numFmtId="172" fontId="5" fillId="41" borderId="24" xfId="0" applyNumberFormat="1" applyFont="1" applyFill="1" applyBorder="1" applyAlignment="1">
      <alignment horizontal="center" vertical="center" wrapText="1"/>
    </xf>
    <xf numFmtId="172" fontId="5" fillId="41" borderId="39" xfId="0" applyNumberFormat="1" applyFont="1" applyFill="1" applyBorder="1" applyAlignment="1">
      <alignment horizontal="center" vertical="center" wrapText="1"/>
    </xf>
    <xf numFmtId="173" fontId="5" fillId="41" borderId="24" xfId="0" applyNumberFormat="1" applyFont="1" applyFill="1" applyBorder="1" applyAlignment="1">
      <alignment horizontal="center" vertical="center" wrapText="1"/>
    </xf>
    <xf numFmtId="173" fontId="5" fillId="41" borderId="39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justify" vertical="center" wrapText="1"/>
    </xf>
    <xf numFmtId="0" fontId="21" fillId="0" borderId="13" xfId="1" applyFont="1" applyFill="1" applyBorder="1" applyAlignment="1">
      <alignment horizontal="justify" vertical="center" wrapText="1"/>
    </xf>
    <xf numFmtId="0" fontId="5" fillId="0" borderId="31" xfId="1" applyFont="1" applyFill="1" applyBorder="1" applyAlignment="1">
      <alignment horizontal="justify" vertical="center" wrapText="1"/>
    </xf>
    <xf numFmtId="0" fontId="5" fillId="0" borderId="32" xfId="1" applyFont="1" applyFill="1" applyBorder="1" applyAlignment="1">
      <alignment horizontal="justify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justify" vertical="center" wrapText="1"/>
    </xf>
    <xf numFmtId="0" fontId="5" fillId="0" borderId="13" xfId="1" applyFont="1" applyFill="1" applyBorder="1" applyAlignment="1">
      <alignment horizontal="justify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172" fontId="5" fillId="0" borderId="39" xfId="1" applyNumberFormat="1" applyFont="1" applyFill="1" applyBorder="1" applyAlignment="1">
      <alignment horizontal="center" vertical="center" wrapText="1"/>
    </xf>
    <xf numFmtId="173" fontId="5" fillId="0" borderId="39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3" xfId="9" applyFont="1" applyFill="1" applyBorder="1" applyAlignment="1">
      <alignment horizontal="left" vertical="center" wrapText="1"/>
    </xf>
    <xf numFmtId="0" fontId="5" fillId="0" borderId="34" xfId="9" applyFont="1" applyFill="1" applyBorder="1" applyAlignment="1">
      <alignment horizontal="left" vertical="center" wrapText="1"/>
    </xf>
    <xf numFmtId="0" fontId="5" fillId="0" borderId="35" xfId="9" applyFont="1" applyFill="1" applyBorder="1" applyAlignment="1">
      <alignment horizontal="left" vertical="center" wrapText="1"/>
    </xf>
    <xf numFmtId="0" fontId="5" fillId="0" borderId="11" xfId="9" applyFont="1" applyFill="1" applyBorder="1" applyAlignment="1">
      <alignment horizontal="left" vertical="center" wrapText="1"/>
    </xf>
    <xf numFmtId="0" fontId="5" fillId="0" borderId="12" xfId="9" applyFont="1" applyFill="1" applyBorder="1" applyAlignment="1">
      <alignment horizontal="left" vertical="center" wrapText="1"/>
    </xf>
    <xf numFmtId="0" fontId="5" fillId="0" borderId="37" xfId="9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 vertical="center" wrapText="1"/>
    </xf>
    <xf numFmtId="172" fontId="5" fillId="0" borderId="39" xfId="0" applyNumberFormat="1" applyFont="1" applyFill="1" applyBorder="1" applyAlignment="1">
      <alignment horizontal="center" vertical="center" wrapText="1"/>
    </xf>
    <xf numFmtId="173" fontId="5" fillId="0" borderId="24" xfId="4" applyNumberFormat="1" applyFont="1" applyFill="1" applyBorder="1" applyAlignment="1">
      <alignment horizontal="center" vertical="center" wrapText="1"/>
    </xf>
    <xf numFmtId="173" fontId="5" fillId="0" borderId="39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11" applyFont="1" applyFill="1" applyBorder="1" applyAlignment="1">
      <alignment horizontal="justify" vertical="center"/>
    </xf>
    <xf numFmtId="0" fontId="5" fillId="0" borderId="19" xfId="11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11" applyFont="1" applyFill="1" applyBorder="1" applyAlignment="1">
      <alignment horizontal="justify" vertical="center"/>
    </xf>
    <xf numFmtId="0" fontId="5" fillId="0" borderId="14" xfId="11" applyFont="1" applyFill="1" applyBorder="1" applyAlignment="1">
      <alignment horizontal="justify" vertical="center"/>
    </xf>
    <xf numFmtId="0" fontId="5" fillId="0" borderId="11" xfId="11" applyFont="1" applyFill="1" applyBorder="1" applyAlignment="1">
      <alignment horizontal="left" vertical="center" wrapText="1"/>
    </xf>
    <xf numFmtId="0" fontId="5" fillId="0" borderId="12" xfId="11" applyFont="1" applyFill="1" applyBorder="1" applyAlignment="1">
      <alignment horizontal="left" vertical="center" wrapText="1"/>
    </xf>
    <xf numFmtId="0" fontId="5" fillId="0" borderId="37" xfId="11" applyFont="1" applyFill="1" applyBorder="1" applyAlignment="1">
      <alignment horizontal="left" vertical="center" wrapText="1"/>
    </xf>
    <xf numFmtId="0" fontId="5" fillId="0" borderId="21" xfId="11" applyFont="1" applyFill="1" applyBorder="1" applyAlignment="1">
      <alignment horizontal="center" vertical="center" wrapText="1"/>
    </xf>
    <xf numFmtId="0" fontId="5" fillId="0" borderId="23" xfId="11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24" xfId="11" applyFont="1" applyFill="1" applyBorder="1" applyAlignment="1">
      <alignment horizontal="center" vertical="center" wrapText="1"/>
    </xf>
    <xf numFmtId="0" fontId="5" fillId="0" borderId="39" xfId="11" applyFont="1" applyFill="1" applyBorder="1" applyAlignment="1">
      <alignment horizontal="center" vertical="center" wrapText="1"/>
    </xf>
    <xf numFmtId="172" fontId="5" fillId="0" borderId="24" xfId="11" applyNumberFormat="1" applyFont="1" applyFill="1" applyBorder="1" applyAlignment="1">
      <alignment horizontal="center" vertical="center" wrapText="1"/>
    </xf>
    <xf numFmtId="172" fontId="5" fillId="0" borderId="39" xfId="11" applyNumberFormat="1" applyFont="1" applyFill="1" applyBorder="1" applyAlignment="1">
      <alignment horizontal="center" vertical="center" wrapText="1"/>
    </xf>
    <xf numFmtId="173" fontId="5" fillId="0" borderId="24" xfId="11" applyNumberFormat="1" applyFont="1" applyFill="1" applyBorder="1" applyAlignment="1">
      <alignment horizontal="center" vertical="center" wrapText="1"/>
    </xf>
    <xf numFmtId="173" fontId="5" fillId="0" borderId="39" xfId="11" applyNumberFormat="1" applyFont="1" applyFill="1" applyBorder="1" applyAlignment="1">
      <alignment horizontal="center" vertical="center" wrapText="1"/>
    </xf>
    <xf numFmtId="0" fontId="5" fillId="0" borderId="11" xfId="11" applyFont="1" applyFill="1" applyBorder="1" applyAlignment="1">
      <alignment horizontal="center" vertical="center" wrapText="1"/>
    </xf>
    <xf numFmtId="0" fontId="5" fillId="0" borderId="12" xfId="11" applyFont="1" applyFill="1" applyBorder="1" applyAlignment="1">
      <alignment horizontal="center" vertical="center" wrapText="1"/>
    </xf>
    <xf numFmtId="0" fontId="5" fillId="0" borderId="37" xfId="1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38" xfId="0" applyFont="1" applyFill="1" applyBorder="1" applyAlignment="1">
      <alignment horizontal="center" vertical="center" wrapText="1"/>
    </xf>
    <xf numFmtId="173" fontId="5" fillId="0" borderId="24" xfId="0" applyNumberFormat="1" applyFont="1" applyFill="1" applyBorder="1" applyAlignment="1">
      <alignment horizontal="center" vertical="center" wrapText="1"/>
    </xf>
    <xf numFmtId="173" fontId="5" fillId="0" borderId="39" xfId="0" applyNumberFormat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justify" vertical="center" wrapText="1"/>
    </xf>
    <xf numFmtId="0" fontId="21" fillId="0" borderId="32" xfId="1" applyFont="1" applyFill="1" applyBorder="1" applyAlignment="1">
      <alignment horizontal="justify" vertical="center" wrapText="1"/>
    </xf>
    <xf numFmtId="0" fontId="21" fillId="0" borderId="33" xfId="9" applyFont="1" applyFill="1" applyBorder="1" applyAlignment="1">
      <alignment horizontal="left" vertical="center" wrapText="1"/>
    </xf>
    <xf numFmtId="0" fontId="21" fillId="0" borderId="34" xfId="9" applyFont="1" applyFill="1" applyBorder="1" applyAlignment="1">
      <alignment horizontal="left" vertical="center" wrapText="1"/>
    </xf>
    <xf numFmtId="0" fontId="21" fillId="0" borderId="35" xfId="9" applyFont="1" applyFill="1" applyBorder="1" applyAlignment="1">
      <alignment horizontal="left" vertical="center" wrapText="1"/>
    </xf>
    <xf numFmtId="0" fontId="21" fillId="0" borderId="38" xfId="1" applyFont="1" applyFill="1" applyBorder="1" applyAlignment="1">
      <alignment horizontal="center" vertical="center" wrapText="1"/>
    </xf>
    <xf numFmtId="0" fontId="21" fillId="0" borderId="18" xfId="106" applyFont="1" applyFill="1" applyBorder="1" applyAlignment="1">
      <alignment horizontal="justify" vertical="center"/>
    </xf>
    <xf numFmtId="0" fontId="21" fillId="0" borderId="19" xfId="106" applyFont="1" applyFill="1" applyBorder="1" applyAlignment="1">
      <alignment horizontal="justify" vertical="center"/>
    </xf>
    <xf numFmtId="0" fontId="21" fillId="0" borderId="33" xfId="9" applyFont="1" applyFill="1" applyBorder="1" applyAlignment="1">
      <alignment horizontal="left" vertical="center"/>
    </xf>
    <xf numFmtId="0" fontId="21" fillId="0" borderId="34" xfId="9" applyFont="1" applyFill="1" applyBorder="1" applyAlignment="1">
      <alignment horizontal="left" vertical="center"/>
    </xf>
    <xf numFmtId="0" fontId="21" fillId="0" borderId="35" xfId="9" applyFont="1" applyFill="1" applyBorder="1" applyAlignment="1">
      <alignment horizontal="left" vertical="center"/>
    </xf>
    <xf numFmtId="0" fontId="21" fillId="0" borderId="36" xfId="106" applyFont="1" applyFill="1" applyBorder="1" applyAlignment="1">
      <alignment horizontal="justify" vertical="center"/>
    </xf>
    <xf numFmtId="0" fontId="21" fillId="0" borderId="13" xfId="106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21" xfId="106" applyFont="1" applyFill="1" applyBorder="1" applyAlignment="1">
      <alignment horizontal="justify" vertical="center"/>
    </xf>
    <xf numFmtId="0" fontId="21" fillId="0" borderId="14" xfId="106" applyFont="1" applyFill="1" applyBorder="1" applyAlignment="1">
      <alignment horizontal="justify" vertical="center"/>
    </xf>
    <xf numFmtId="0" fontId="21" fillId="0" borderId="11" xfId="106" applyFont="1" applyFill="1" applyBorder="1" applyAlignment="1">
      <alignment horizontal="left" vertical="center"/>
    </xf>
    <xf numFmtId="0" fontId="21" fillId="0" borderId="12" xfId="106" applyFont="1" applyFill="1" applyBorder="1" applyAlignment="1">
      <alignment horizontal="left" vertical="center"/>
    </xf>
    <xf numFmtId="0" fontId="21" fillId="0" borderId="37" xfId="106" applyFont="1" applyFill="1" applyBorder="1" applyAlignment="1">
      <alignment horizontal="left" vertical="center"/>
    </xf>
    <xf numFmtId="0" fontId="21" fillId="0" borderId="21" xfId="106" applyFont="1" applyFill="1" applyBorder="1" applyAlignment="1">
      <alignment horizontal="center" vertical="center"/>
    </xf>
    <xf numFmtId="0" fontId="21" fillId="0" borderId="23" xfId="106" applyFont="1" applyFill="1" applyBorder="1" applyAlignment="1">
      <alignment horizontal="center" vertical="center"/>
    </xf>
    <xf numFmtId="0" fontId="21" fillId="0" borderId="14" xfId="106" applyFont="1" applyFill="1" applyBorder="1" applyAlignment="1">
      <alignment horizontal="center" vertical="center" wrapText="1"/>
    </xf>
    <xf numFmtId="0" fontId="21" fillId="0" borderId="24" xfId="106" applyFont="1" applyFill="1" applyBorder="1" applyAlignment="1">
      <alignment horizontal="center" vertical="center" wrapText="1"/>
    </xf>
    <xf numFmtId="0" fontId="21" fillId="0" borderId="24" xfId="106" applyFont="1" applyFill="1" applyBorder="1" applyAlignment="1">
      <alignment horizontal="center" vertical="center"/>
    </xf>
    <xf numFmtId="0" fontId="21" fillId="0" borderId="39" xfId="106" applyFont="1" applyFill="1" applyBorder="1" applyAlignment="1">
      <alignment horizontal="center" vertical="center"/>
    </xf>
    <xf numFmtId="172" fontId="21" fillId="0" borderId="24" xfId="106" applyNumberFormat="1" applyFont="1" applyFill="1" applyBorder="1" applyAlignment="1">
      <alignment horizontal="center" vertical="center"/>
    </xf>
    <xf numFmtId="172" fontId="21" fillId="0" borderId="39" xfId="106" applyNumberFormat="1" applyFont="1" applyFill="1" applyBorder="1" applyAlignment="1">
      <alignment horizontal="center" vertical="center"/>
    </xf>
    <xf numFmtId="173" fontId="21" fillId="0" borderId="24" xfId="106" applyNumberFormat="1" applyFont="1" applyFill="1" applyBorder="1" applyAlignment="1">
      <alignment horizontal="center" vertical="center" wrapText="1"/>
    </xf>
    <xf numFmtId="173" fontId="21" fillId="0" borderId="39" xfId="106" applyNumberFormat="1" applyFont="1" applyFill="1" applyBorder="1" applyAlignment="1">
      <alignment horizontal="center" vertical="center" wrapText="1"/>
    </xf>
    <xf numFmtId="0" fontId="21" fillId="0" borderId="11" xfId="106" applyFont="1" applyFill="1" applyBorder="1" applyAlignment="1">
      <alignment horizontal="center" vertical="center"/>
    </xf>
    <xf numFmtId="0" fontId="21" fillId="0" borderId="12" xfId="106" applyFont="1" applyFill="1" applyBorder="1" applyAlignment="1">
      <alignment horizontal="center" vertical="center"/>
    </xf>
    <xf numFmtId="0" fontId="21" fillId="0" borderId="37" xfId="106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quotePrefix="1" applyFont="1" applyFill="1" applyBorder="1" applyAlignment="1">
      <alignment horizontal="left" vertical="center"/>
    </xf>
    <xf numFmtId="0" fontId="5" fillId="0" borderId="20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1" fillId="0" borderId="31" xfId="11" applyFont="1" applyFill="1" applyBorder="1" applyAlignment="1">
      <alignment horizontal="justify" vertical="center"/>
    </xf>
    <xf numFmtId="0" fontId="21" fillId="0" borderId="32" xfId="11" applyFont="1" applyFill="1" applyBorder="1" applyAlignment="1">
      <alignment horizontal="justify" vertical="center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11" applyFont="1" applyFill="1" applyBorder="1" applyAlignment="1">
      <alignment horizontal="justify" vertical="center"/>
    </xf>
    <xf numFmtId="0" fontId="21" fillId="0" borderId="13" xfId="11" applyFont="1" applyFill="1" applyBorder="1" applyAlignment="1">
      <alignment horizontal="justify" vertical="center"/>
    </xf>
    <xf numFmtId="0" fontId="21" fillId="0" borderId="11" xfId="11" applyFont="1" applyFill="1" applyBorder="1" applyAlignment="1">
      <alignment horizontal="left" vertical="center" wrapText="1"/>
    </xf>
    <xf numFmtId="0" fontId="21" fillId="0" borderId="12" xfId="11" applyFont="1" applyFill="1" applyBorder="1" applyAlignment="1">
      <alignment horizontal="left" vertical="center" wrapText="1"/>
    </xf>
    <xf numFmtId="0" fontId="21" fillId="0" borderId="37" xfId="11" applyFont="1" applyFill="1" applyBorder="1" applyAlignment="1">
      <alignment horizontal="left" vertical="center" wrapText="1"/>
    </xf>
    <xf numFmtId="0" fontId="21" fillId="0" borderId="23" xfId="11" applyFont="1" applyFill="1" applyBorder="1" applyAlignment="1">
      <alignment horizontal="center" vertical="center" wrapText="1"/>
    </xf>
    <xf numFmtId="0" fontId="21" fillId="0" borderId="38" xfId="11" applyFont="1" applyFill="1" applyBorder="1" applyAlignment="1">
      <alignment horizontal="center" vertical="center" wrapText="1"/>
    </xf>
    <xf numFmtId="0" fontId="21" fillId="0" borderId="24" xfId="11" applyFont="1" applyFill="1" applyBorder="1" applyAlignment="1">
      <alignment horizontal="center" vertical="center" wrapText="1"/>
    </xf>
    <xf numFmtId="0" fontId="21" fillId="0" borderId="39" xfId="11" applyFont="1" applyFill="1" applyBorder="1" applyAlignment="1">
      <alignment horizontal="center" vertical="center" wrapText="1"/>
    </xf>
    <xf numFmtId="172" fontId="21" fillId="0" borderId="24" xfId="11" applyNumberFormat="1" applyFont="1" applyFill="1" applyBorder="1" applyAlignment="1">
      <alignment horizontal="center" vertical="center" wrapText="1"/>
    </xf>
    <xf numFmtId="172" fontId="21" fillId="0" borderId="39" xfId="11" applyNumberFormat="1" applyFont="1" applyFill="1" applyBorder="1" applyAlignment="1">
      <alignment horizontal="center" vertical="center" wrapText="1"/>
    </xf>
    <xf numFmtId="173" fontId="21" fillId="0" borderId="24" xfId="11" applyNumberFormat="1" applyFont="1" applyFill="1" applyBorder="1" applyAlignment="1">
      <alignment horizontal="center" vertical="center" wrapText="1"/>
    </xf>
    <xf numFmtId="173" fontId="21" fillId="0" borderId="39" xfId="11" applyNumberFormat="1" applyFont="1" applyFill="1" applyBorder="1" applyAlignment="1">
      <alignment horizontal="center" vertical="center" wrapText="1"/>
    </xf>
    <xf numFmtId="0" fontId="21" fillId="0" borderId="11" xfId="11" applyFont="1" applyFill="1" applyBorder="1" applyAlignment="1">
      <alignment horizontal="center" vertical="center" wrapText="1"/>
    </xf>
    <xf numFmtId="0" fontId="21" fillId="0" borderId="12" xfId="11" applyFont="1" applyFill="1" applyBorder="1" applyAlignment="1">
      <alignment horizontal="center" vertical="center" wrapText="1"/>
    </xf>
    <xf numFmtId="0" fontId="21" fillId="0" borderId="37" xfId="11" applyFont="1" applyFill="1" applyBorder="1" applyAlignment="1">
      <alignment horizontal="center" vertical="center" wrapText="1"/>
    </xf>
    <xf numFmtId="0" fontId="5" fillId="41" borderId="18" xfId="1" applyFont="1" applyFill="1" applyBorder="1" applyAlignment="1">
      <alignment horizontal="justify" vertical="center" wrapText="1"/>
    </xf>
    <xf numFmtId="0" fontId="5" fillId="41" borderId="19" xfId="1" applyFont="1" applyFill="1" applyBorder="1" applyAlignment="1">
      <alignment horizontal="justify" vertical="center" wrapText="1"/>
    </xf>
    <xf numFmtId="0" fontId="5" fillId="41" borderId="19" xfId="1" applyFont="1" applyFill="1" applyBorder="1" applyAlignment="1">
      <alignment horizontal="left" vertical="center" wrapText="1"/>
    </xf>
    <xf numFmtId="0" fontId="5" fillId="41" borderId="20" xfId="1" applyFont="1" applyFill="1" applyBorder="1" applyAlignment="1">
      <alignment horizontal="left" vertical="center" wrapText="1"/>
    </xf>
    <xf numFmtId="0" fontId="5" fillId="41" borderId="21" xfId="1" applyFont="1" applyFill="1" applyBorder="1" applyAlignment="1">
      <alignment horizontal="justify" vertical="center" wrapText="1"/>
    </xf>
    <xf numFmtId="0" fontId="5" fillId="41" borderId="14" xfId="1" applyFont="1" applyFill="1" applyBorder="1" applyAlignment="1">
      <alignment horizontal="justify" vertical="center" wrapText="1"/>
    </xf>
    <xf numFmtId="0" fontId="5" fillId="41" borderId="14" xfId="1" applyFont="1" applyFill="1" applyBorder="1" applyAlignment="1">
      <alignment horizontal="left" vertical="center" wrapText="1"/>
    </xf>
    <xf numFmtId="0" fontId="5" fillId="41" borderId="22" xfId="1" applyFont="1" applyFill="1" applyBorder="1" applyAlignment="1">
      <alignment horizontal="left" vertical="center" wrapText="1"/>
    </xf>
    <xf numFmtId="0" fontId="21" fillId="0" borderId="19" xfId="1" applyFont="1" applyFill="1" applyBorder="1" applyAlignment="1">
      <alignment horizontal="left" vertical="center" wrapText="1"/>
    </xf>
    <xf numFmtId="0" fontId="21" fillId="0" borderId="20" xfId="1" applyFont="1" applyFill="1" applyBorder="1" applyAlignment="1">
      <alignment horizontal="left" vertical="center" wrapText="1"/>
    </xf>
    <xf numFmtId="0" fontId="21" fillId="0" borderId="14" xfId="1" applyFont="1" applyFill="1" applyBorder="1" applyAlignment="1">
      <alignment horizontal="left" vertical="center" wrapText="1"/>
    </xf>
    <xf numFmtId="0" fontId="21" fillId="0" borderId="22" xfId="1" applyFont="1" applyFill="1" applyBorder="1" applyAlignment="1">
      <alignment horizontal="left" vertical="center" wrapText="1"/>
    </xf>
    <xf numFmtId="172" fontId="21" fillId="0" borderId="14" xfId="1" applyNumberFormat="1" applyFont="1" applyFill="1" applyBorder="1" applyAlignment="1">
      <alignment horizontal="center" vertical="center" wrapText="1"/>
    </xf>
    <xf numFmtId="173" fontId="21" fillId="0" borderId="14" xfId="1" applyNumberFormat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1" xfId="11" applyFont="1" applyFill="1" applyBorder="1" applyAlignment="1">
      <alignment horizontal="justify" vertical="center"/>
    </xf>
    <xf numFmtId="0" fontId="5" fillId="0" borderId="32" xfId="11" applyFont="1" applyFill="1" applyBorder="1" applyAlignment="1">
      <alignment horizontal="justify" vertical="center"/>
    </xf>
    <xf numFmtId="0" fontId="5" fillId="0" borderId="36" xfId="11" applyFont="1" applyFill="1" applyBorder="1" applyAlignment="1">
      <alignment horizontal="justify" vertical="center"/>
    </xf>
    <xf numFmtId="0" fontId="5" fillId="0" borderId="13" xfId="11" applyFont="1" applyFill="1" applyBorder="1" applyAlignment="1">
      <alignment horizontal="justify" vertical="center"/>
    </xf>
    <xf numFmtId="0" fontId="5" fillId="0" borderId="38" xfId="11" applyFont="1" applyFill="1" applyBorder="1" applyAlignment="1">
      <alignment horizontal="center" vertical="center" wrapText="1"/>
    </xf>
    <xf numFmtId="0" fontId="57" fillId="41" borderId="14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6" fillId="40" borderId="42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 horizontal="center" vertical="center" wrapText="1"/>
    </xf>
    <xf numFmtId="0" fontId="56" fillId="40" borderId="4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43" xfId="0" applyFont="1" applyFill="1" applyBorder="1" applyAlignment="1">
      <alignment horizontal="left" vertical="center" wrapText="1"/>
    </xf>
    <xf numFmtId="0" fontId="62" fillId="0" borderId="42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41" xfId="0" applyFont="1" applyFill="1" applyBorder="1" applyAlignment="1">
      <alignment horizontal="left" vertical="center" wrapText="1"/>
    </xf>
    <xf numFmtId="0" fontId="32" fillId="0" borderId="54" xfId="222" applyFont="1" applyFill="1" applyBorder="1" applyAlignment="1">
      <alignment horizontal="left" vertical="center" indent="1"/>
    </xf>
    <xf numFmtId="0" fontId="32" fillId="0" borderId="56" xfId="222" applyFont="1" applyFill="1" applyBorder="1" applyAlignment="1">
      <alignment horizontal="left" vertical="center" indent="1"/>
    </xf>
    <xf numFmtId="0" fontId="32" fillId="0" borderId="53" xfId="222" applyFont="1" applyBorder="1" applyAlignment="1">
      <alignment horizontal="center" vertical="center" wrapText="1"/>
    </xf>
    <xf numFmtId="0" fontId="32" fillId="34" borderId="57" xfId="222" applyFont="1" applyFill="1" applyBorder="1" applyAlignment="1">
      <alignment horizontal="left" vertical="center"/>
    </xf>
    <xf numFmtId="0" fontId="32" fillId="34" borderId="58" xfId="222" applyFont="1" applyFill="1" applyBorder="1" applyAlignment="1">
      <alignment horizontal="left" vertical="center"/>
    </xf>
    <xf numFmtId="0" fontId="32" fillId="35" borderId="57" xfId="222" applyFont="1" applyFill="1" applyBorder="1" applyAlignment="1">
      <alignment horizontal="left" vertical="center"/>
    </xf>
    <xf numFmtId="0" fontId="32" fillId="35" borderId="58" xfId="222" applyFont="1" applyFill="1" applyBorder="1" applyAlignment="1">
      <alignment horizontal="left" vertical="center"/>
    </xf>
    <xf numFmtId="0" fontId="32" fillId="0" borderId="57" xfId="222" applyFont="1" applyBorder="1" applyAlignment="1">
      <alignment horizontal="left" vertical="center"/>
    </xf>
    <xf numFmtId="0" fontId="32" fillId="0" borderId="58" xfId="222" applyFont="1" applyBorder="1" applyAlignment="1">
      <alignment horizontal="left" vertical="center"/>
    </xf>
    <xf numFmtId="0" fontId="32" fillId="0" borderId="54" xfId="222" applyFont="1" applyFill="1" applyBorder="1" applyAlignment="1">
      <alignment horizontal="left" vertical="center"/>
    </xf>
    <xf numFmtId="0" fontId="32" fillId="0" borderId="56" xfId="222" applyFont="1" applyFill="1" applyBorder="1" applyAlignment="1">
      <alignment horizontal="left" vertical="center"/>
    </xf>
    <xf numFmtId="0" fontId="32" fillId="0" borderId="64" xfId="222" applyFont="1" applyFill="1" applyBorder="1" applyAlignment="1">
      <alignment horizontal="left" vertical="center"/>
    </xf>
    <xf numFmtId="0" fontId="32" fillId="0" borderId="65" xfId="222" applyFont="1" applyFill="1" applyBorder="1" applyAlignment="1">
      <alignment horizontal="left" vertical="center"/>
    </xf>
    <xf numFmtId="0" fontId="32" fillId="34" borderId="61" xfId="222" applyFont="1" applyFill="1" applyBorder="1" applyAlignment="1">
      <alignment horizontal="left" vertical="center"/>
    </xf>
    <xf numFmtId="0" fontId="32" fillId="34" borderId="62" xfId="222" applyFont="1" applyFill="1" applyBorder="1" applyAlignment="1">
      <alignment horizontal="left" vertical="center"/>
    </xf>
    <xf numFmtId="0" fontId="32" fillId="35" borderId="14" xfId="222" applyFont="1" applyFill="1" applyBorder="1" applyAlignment="1">
      <alignment horizontal="left" vertical="center"/>
    </xf>
    <xf numFmtId="0" fontId="34" fillId="0" borderId="53" xfId="222" applyFont="1" applyBorder="1" applyAlignment="1">
      <alignment horizontal="center" vertical="center"/>
    </xf>
    <xf numFmtId="0" fontId="34" fillId="0" borderId="54" xfId="222" applyFont="1" applyFill="1" applyBorder="1" applyAlignment="1">
      <alignment horizontal="center" vertical="center"/>
    </xf>
    <xf numFmtId="0" fontId="34" fillId="0" borderId="55" xfId="222" applyFont="1" applyFill="1" applyBorder="1" applyAlignment="1">
      <alignment horizontal="center" vertical="center"/>
    </xf>
    <xf numFmtId="0" fontId="34" fillId="0" borderId="56" xfId="222" applyFont="1" applyFill="1" applyBorder="1" applyAlignment="1">
      <alignment horizontal="center" vertical="center"/>
    </xf>
    <xf numFmtId="0" fontId="37" fillId="0" borderId="11" xfId="223" applyFont="1" applyBorder="1" applyAlignment="1">
      <alignment horizontal="center" vertical="center"/>
    </xf>
    <xf numFmtId="0" fontId="37" fillId="0" borderId="12" xfId="223" applyFont="1" applyBorder="1" applyAlignment="1">
      <alignment horizontal="center" vertical="center"/>
    </xf>
    <xf numFmtId="0" fontId="37" fillId="0" borderId="13" xfId="223" applyFont="1" applyBorder="1" applyAlignment="1">
      <alignment horizontal="center" vertical="center"/>
    </xf>
    <xf numFmtId="0" fontId="38" fillId="0" borderId="15" xfId="1" applyFont="1" applyFill="1" applyBorder="1" applyAlignment="1">
      <alignment horizontal="left" vertical="center" wrapText="1"/>
    </xf>
    <xf numFmtId="0" fontId="38" fillId="0" borderId="16" xfId="1" applyFont="1" applyFill="1" applyBorder="1" applyAlignment="1">
      <alignment horizontal="left" vertical="center" wrapText="1"/>
    </xf>
    <xf numFmtId="0" fontId="38" fillId="0" borderId="41" xfId="1" applyFont="1" applyFill="1" applyBorder="1" applyAlignment="1">
      <alignment horizontal="left" vertical="center" wrapText="1"/>
    </xf>
    <xf numFmtId="0" fontId="37" fillId="38" borderId="14" xfId="223" applyFont="1" applyFill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223" applyFont="1" applyBorder="1" applyAlignment="1">
      <alignment horizontal="center" vertical="center"/>
    </xf>
    <xf numFmtId="0" fontId="37" fillId="37" borderId="0" xfId="223" applyFont="1" applyFill="1" applyAlignment="1">
      <alignment horizontal="left"/>
    </xf>
    <xf numFmtId="0" fontId="38" fillId="37" borderId="14" xfId="0" applyFont="1" applyFill="1" applyBorder="1" applyAlignment="1">
      <alignment horizontal="left" vertical="center" wrapText="1"/>
    </xf>
    <xf numFmtId="0" fontId="24" fillId="38" borderId="14" xfId="1" applyFont="1" applyFill="1" applyBorder="1" applyAlignment="1">
      <alignment horizontal="center" vertical="center" wrapText="1"/>
    </xf>
    <xf numFmtId="0" fontId="37" fillId="38" borderId="14" xfId="223" applyFont="1" applyFill="1" applyBorder="1" applyAlignment="1">
      <alignment horizontal="center" vertical="center" wrapText="1"/>
    </xf>
    <xf numFmtId="0" fontId="38" fillId="37" borderId="44" xfId="0" applyFont="1" applyFill="1" applyBorder="1" applyAlignment="1">
      <alignment horizontal="left" vertical="center" wrapText="1"/>
    </xf>
    <xf numFmtId="0" fontId="38" fillId="37" borderId="0" xfId="0" applyFont="1" applyFill="1" applyBorder="1" applyAlignment="1">
      <alignment horizontal="left" vertical="center" wrapText="1"/>
    </xf>
    <xf numFmtId="0" fontId="38" fillId="37" borderId="40" xfId="0" applyFont="1" applyFill="1" applyBorder="1" applyAlignment="1">
      <alignment horizontal="left" vertical="center" wrapText="1"/>
    </xf>
    <xf numFmtId="0" fontId="38" fillId="0" borderId="14" xfId="1" applyFont="1" applyFill="1" applyBorder="1" applyAlignment="1">
      <alignment horizontal="left" vertical="center" wrapText="1"/>
    </xf>
    <xf numFmtId="0" fontId="37" fillId="38" borderId="10" xfId="223" applyFont="1" applyFill="1" applyBorder="1" applyAlignment="1">
      <alignment horizontal="center" vertical="center"/>
    </xf>
    <xf numFmtId="0" fontId="37" fillId="38" borderId="43" xfId="223" applyFont="1" applyFill="1" applyBorder="1" applyAlignment="1">
      <alignment horizontal="center" vertical="center"/>
    </xf>
    <xf numFmtId="0" fontId="37" fillId="38" borderId="42" xfId="223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6" fillId="0" borderId="11" xfId="223" applyFont="1" applyBorder="1" applyAlignment="1">
      <alignment horizontal="left" vertical="center" wrapText="1"/>
    </xf>
    <xf numFmtId="0" fontId="36" fillId="0" borderId="12" xfId="223" applyFont="1" applyBorder="1" applyAlignment="1">
      <alignment horizontal="left" vertical="center" wrapText="1"/>
    </xf>
    <xf numFmtId="0" fontId="36" fillId="0" borderId="13" xfId="223" applyFont="1" applyBorder="1" applyAlignment="1">
      <alignment horizontal="left" vertical="center" wrapText="1"/>
    </xf>
    <xf numFmtId="0" fontId="37" fillId="0" borderId="10" xfId="223" applyFont="1" applyBorder="1" applyAlignment="1">
      <alignment horizontal="center" vertical="center"/>
    </xf>
    <xf numFmtId="0" fontId="37" fillId="0" borderId="43" xfId="223" applyFont="1" applyBorder="1" applyAlignment="1">
      <alignment horizontal="center" vertical="center"/>
    </xf>
    <xf numFmtId="0" fontId="37" fillId="38" borderId="17" xfId="223" applyFont="1" applyFill="1" applyBorder="1" applyAlignment="1">
      <alignment horizontal="center" vertical="center"/>
    </xf>
    <xf numFmtId="0" fontId="37" fillId="38" borderId="15" xfId="223" applyFont="1" applyFill="1" applyBorder="1" applyAlignment="1">
      <alignment horizontal="center" vertical="center"/>
    </xf>
    <xf numFmtId="0" fontId="5" fillId="33" borderId="44" xfId="1" applyFont="1" applyFill="1" applyBorder="1" applyAlignment="1">
      <alignment horizontal="center" vertical="center" wrapText="1"/>
    </xf>
    <xf numFmtId="0" fontId="5" fillId="33" borderId="0" xfId="1" applyFont="1" applyFill="1" applyBorder="1" applyAlignment="1">
      <alignment horizontal="center" vertical="center" wrapText="1"/>
    </xf>
    <xf numFmtId="0" fontId="36" fillId="0" borderId="11" xfId="223" applyFont="1" applyBorder="1" applyAlignment="1">
      <alignment horizontal="left"/>
    </xf>
    <xf numFmtId="0" fontId="36" fillId="0" borderId="12" xfId="223" applyFont="1" applyBorder="1" applyAlignment="1">
      <alignment horizontal="left"/>
    </xf>
    <xf numFmtId="0" fontId="36" fillId="0" borderId="13" xfId="223" applyFont="1" applyBorder="1" applyAlignment="1">
      <alignment horizontal="left"/>
    </xf>
    <xf numFmtId="0" fontId="38" fillId="37" borderId="11" xfId="0" applyFont="1" applyFill="1" applyBorder="1" applyAlignment="1">
      <alignment horizontal="left" vertical="center" wrapText="1"/>
    </xf>
    <xf numFmtId="0" fontId="38" fillId="37" borderId="12" xfId="0" applyFont="1" applyFill="1" applyBorder="1" applyAlignment="1">
      <alignment horizontal="left" vertical="center" wrapText="1"/>
    </xf>
    <xf numFmtId="0" fontId="38" fillId="37" borderId="13" xfId="0" applyFont="1" applyFill="1" applyBorder="1" applyAlignment="1">
      <alignment horizontal="left" vertical="center" wrapText="1"/>
    </xf>
    <xf numFmtId="0" fontId="37" fillId="38" borderId="11" xfId="223" applyFont="1" applyFill="1" applyBorder="1" applyAlignment="1">
      <alignment horizontal="center" vertical="center" wrapText="1"/>
    </xf>
    <xf numFmtId="0" fontId="37" fillId="38" borderId="12" xfId="223" applyFont="1" applyFill="1" applyBorder="1" applyAlignment="1">
      <alignment horizontal="center" vertical="center" wrapText="1"/>
    </xf>
    <xf numFmtId="0" fontId="37" fillId="38" borderId="13" xfId="223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13" xfId="1" applyFont="1" applyFill="1" applyBorder="1" applyAlignment="1">
      <alignment horizontal="center" vertical="center" wrapText="1"/>
    </xf>
    <xf numFmtId="0" fontId="36" fillId="0" borderId="14" xfId="223" applyFont="1" applyBorder="1" applyAlignment="1">
      <alignment horizontal="left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6" fillId="0" borderId="14" xfId="223" applyFont="1" applyBorder="1" applyAlignment="1">
      <alignment horizontal="left" vertical="center"/>
    </xf>
    <xf numFmtId="0" fontId="36" fillId="0" borderId="14" xfId="223" applyFont="1" applyBorder="1" applyAlignment="1">
      <alignment horizontal="left" vertical="center" wrapText="1"/>
    </xf>
    <xf numFmtId="0" fontId="36" fillId="0" borderId="14" xfId="223" applyFont="1" applyBorder="1" applyAlignment="1">
      <alignment horizontal="center" vertical="center"/>
    </xf>
    <xf numFmtId="0" fontId="24" fillId="38" borderId="14" xfId="11" applyFont="1" applyFill="1" applyBorder="1" applyAlignment="1">
      <alignment horizontal="center" vertical="center" wrapText="1"/>
    </xf>
    <xf numFmtId="0" fontId="24" fillId="38" borderId="24" xfId="11" applyFont="1" applyFill="1" applyBorder="1" applyAlignment="1">
      <alignment horizontal="center" vertical="center"/>
    </xf>
    <xf numFmtId="0" fontId="24" fillId="38" borderId="17" xfId="11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left" vertical="center" wrapText="1"/>
    </xf>
    <xf numFmtId="0" fontId="38" fillId="37" borderId="16" xfId="0" applyFont="1" applyFill="1" applyBorder="1" applyAlignment="1">
      <alignment horizontal="left" vertical="center" wrapText="1"/>
    </xf>
    <xf numFmtId="0" fontId="24" fillId="38" borderId="24" xfId="11" applyFont="1" applyFill="1" applyBorder="1" applyAlignment="1">
      <alignment horizontal="center" vertical="center" wrapText="1"/>
    </xf>
    <xf numFmtId="0" fontId="24" fillId="38" borderId="52" xfId="11" applyFont="1" applyFill="1" applyBorder="1" applyAlignment="1">
      <alignment horizontal="center" vertical="center" wrapText="1"/>
    </xf>
    <xf numFmtId="0" fontId="24" fillId="38" borderId="17" xfId="11" applyFont="1" applyFill="1" applyBorder="1" applyAlignment="1">
      <alignment horizontal="center" vertical="center" wrapText="1"/>
    </xf>
    <xf numFmtId="0" fontId="24" fillId="38" borderId="10" xfId="11" applyFont="1" applyFill="1" applyBorder="1" applyAlignment="1">
      <alignment horizontal="center" vertical="center"/>
    </xf>
    <xf numFmtId="0" fontId="24" fillId="38" borderId="43" xfId="11" applyFont="1" applyFill="1" applyBorder="1" applyAlignment="1">
      <alignment horizontal="center" vertical="center"/>
    </xf>
    <xf numFmtId="0" fontId="24" fillId="38" borderId="42" xfId="11" applyFont="1" applyFill="1" applyBorder="1" applyAlignment="1">
      <alignment horizontal="center" vertical="center"/>
    </xf>
    <xf numFmtId="0" fontId="24" fillId="38" borderId="15" xfId="11" applyFont="1" applyFill="1" applyBorder="1" applyAlignment="1">
      <alignment horizontal="center" vertical="center"/>
    </xf>
    <xf numFmtId="0" fontId="24" fillId="38" borderId="16" xfId="11" applyFont="1" applyFill="1" applyBorder="1" applyAlignment="1">
      <alignment horizontal="center" vertical="center"/>
    </xf>
    <xf numFmtId="0" fontId="24" fillId="38" borderId="41" xfId="11" applyFont="1" applyFill="1" applyBorder="1" applyAlignment="1">
      <alignment horizontal="center" vertical="center"/>
    </xf>
    <xf numFmtId="0" fontId="37" fillId="38" borderId="14" xfId="223" applyFont="1" applyFill="1" applyBorder="1" applyAlignment="1">
      <alignment horizontal="left" vertical="center"/>
    </xf>
    <xf numFmtId="0" fontId="36" fillId="0" borderId="15" xfId="223" applyFont="1" applyBorder="1" applyAlignment="1">
      <alignment horizontal="left" vertical="center"/>
    </xf>
    <xf numFmtId="0" fontId="36" fillId="0" borderId="16" xfId="223" applyFont="1" applyBorder="1" applyAlignment="1">
      <alignment horizontal="left" vertical="center"/>
    </xf>
    <xf numFmtId="0" fontId="36" fillId="0" borderId="41" xfId="223" applyFont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38" fillId="37" borderId="11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 wrapText="1"/>
    </xf>
    <xf numFmtId="0" fontId="37" fillId="38" borderId="11" xfId="223" applyFont="1" applyFill="1" applyBorder="1" applyAlignment="1">
      <alignment horizontal="center" vertical="center"/>
    </xf>
    <xf numFmtId="0" fontId="24" fillId="38" borderId="14" xfId="1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7" fillId="37" borderId="0" xfId="223" applyFont="1" applyFill="1" applyAlignment="1">
      <alignment horizontal="left" wrapText="1"/>
    </xf>
  </cellXfs>
  <cellStyles count="226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4 2" xfId="23"/>
    <cellStyle name="40% - Énfasis5 2" xfId="24"/>
    <cellStyle name="40% - Énfasis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192"/>
    <cellStyle name="Incorrecto 2" xfId="44"/>
    <cellStyle name="Millares" xfId="216" builtinId="3"/>
    <cellStyle name="Millares 2" xfId="190"/>
    <cellStyle name="Millares 3" xfId="191"/>
    <cellStyle name="Millares 5" xfId="211"/>
    <cellStyle name="Moneda" xfId="218" builtinId="4"/>
    <cellStyle name="Moneda 2" xfId="2"/>
    <cellStyle name="Moneda 2 10" xfId="45"/>
    <cellStyle name="Moneda 2 11" xfId="46"/>
    <cellStyle name="Moneda 2 12" xfId="47"/>
    <cellStyle name="Moneda 2 13" xfId="48"/>
    <cellStyle name="Moneda 2 14" xfId="49"/>
    <cellStyle name="Moneda 2 15" xfId="50"/>
    <cellStyle name="Moneda 2 16" xfId="51"/>
    <cellStyle name="Moneda 2 17" xfId="52"/>
    <cellStyle name="Moneda 2 18" xfId="53"/>
    <cellStyle name="Moneda 2 19" xfId="54"/>
    <cellStyle name="Moneda 2 2" xfId="55"/>
    <cellStyle name="Moneda 2 20" xfId="56"/>
    <cellStyle name="Moneda 2 21" xfId="57"/>
    <cellStyle name="Moneda 2 22" xfId="58"/>
    <cellStyle name="Moneda 2 23" xfId="59"/>
    <cellStyle name="Moneda 2 24" xfId="60"/>
    <cellStyle name="Moneda 2 25" xfId="61"/>
    <cellStyle name="Moneda 2 26" xfId="62"/>
    <cellStyle name="Moneda 2 27" xfId="63"/>
    <cellStyle name="Moneda 2 28" xfId="64"/>
    <cellStyle name="Moneda 2 29" xfId="65"/>
    <cellStyle name="Moneda 2 3" xfId="66"/>
    <cellStyle name="Moneda 2 30" xfId="67"/>
    <cellStyle name="Moneda 2 31" xfId="68"/>
    <cellStyle name="Moneda 2 32" xfId="69"/>
    <cellStyle name="Moneda 2 33" xfId="70"/>
    <cellStyle name="Moneda 2 34" xfId="71"/>
    <cellStyle name="Moneda 2 35" xfId="7"/>
    <cellStyle name="Moneda 2 36" xfId="72"/>
    <cellStyle name="Moneda 2 37" xfId="73"/>
    <cellStyle name="Moneda 2 38" xfId="74"/>
    <cellStyle name="Moneda 2 39" xfId="75"/>
    <cellStyle name="Moneda 2 4" xfId="76"/>
    <cellStyle name="Moneda 2 40" xfId="77"/>
    <cellStyle name="Moneda 2 41" xfId="78"/>
    <cellStyle name="Moneda 2 42" xfId="79"/>
    <cellStyle name="Moneda 2 43" xfId="80"/>
    <cellStyle name="Moneda 2 44" xfId="81"/>
    <cellStyle name="Moneda 2 45" xfId="82"/>
    <cellStyle name="Moneda 2 46" xfId="83"/>
    <cellStyle name="Moneda 2 47" xfId="84"/>
    <cellStyle name="Moneda 2 48" xfId="85"/>
    <cellStyle name="Moneda 2 49" xfId="86"/>
    <cellStyle name="Moneda 2 5" xfId="87"/>
    <cellStyle name="Moneda 2 50" xfId="88"/>
    <cellStyle name="Moneda 2 51" xfId="89"/>
    <cellStyle name="Moneda 2 52" xfId="90"/>
    <cellStyle name="Moneda 2 53" xfId="91"/>
    <cellStyle name="Moneda 2 54" xfId="92"/>
    <cellStyle name="Moneda 2 55" xfId="93"/>
    <cellStyle name="Moneda 2 56" xfId="217"/>
    <cellStyle name="Moneda 2 6" xfId="94"/>
    <cellStyle name="Moneda 2 7" xfId="95"/>
    <cellStyle name="Moneda 2 8" xfId="96"/>
    <cellStyle name="Moneda 2 9" xfId="97"/>
    <cellStyle name="Moneda 3" xfId="4"/>
    <cellStyle name="Moneda 4" xfId="212"/>
    <cellStyle name="Moneda 5" xfId="225"/>
    <cellStyle name="Moneda 5 10" xfId="214"/>
    <cellStyle name="Neutral 2" xfId="98"/>
    <cellStyle name="Normal" xfId="0" builtinId="0"/>
    <cellStyle name="Normal 10" xfId="219"/>
    <cellStyle name="Normal 10 2" xfId="220"/>
    <cellStyle name="Normal 11" xfId="208"/>
    <cellStyle name="Normal 12" xfId="99"/>
    <cellStyle name="Normal 13" xfId="100"/>
    <cellStyle name="Normal 14" xfId="101"/>
    <cellStyle name="Normal 15" xfId="102"/>
    <cellStyle name="Normal 16" xfId="103"/>
    <cellStyle name="Normal 17" xfId="104"/>
    <cellStyle name="Normal 2" xfId="105"/>
    <cellStyle name="Normal 2 10" xfId="11"/>
    <cellStyle name="Normal 2 13" xfId="12"/>
    <cellStyle name="Normal 2 2" xfId="1"/>
    <cellStyle name="Normal 2 2 2" xfId="106"/>
    <cellStyle name="Normal 2 3" xfId="107"/>
    <cellStyle name="Normal 2 4" xfId="195"/>
    <cellStyle name="Normal 20" xfId="209"/>
    <cellStyle name="Normal 22" xfId="207"/>
    <cellStyle name="Normal 23" xfId="210"/>
    <cellStyle name="Normal 28" xfId="3"/>
    <cellStyle name="Normal 29" xfId="108"/>
    <cellStyle name="Normal 3" xfId="109"/>
    <cellStyle name="Normal 3 10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17" xfId="117"/>
    <cellStyle name="Normal 3 18" xfId="118"/>
    <cellStyle name="Normal 3 19" xfId="119"/>
    <cellStyle name="Normal 3 2" xfId="120"/>
    <cellStyle name="Normal 3 20" xfId="121"/>
    <cellStyle name="Normal 3 21" xfId="122"/>
    <cellStyle name="Normal 3 22" xfId="123"/>
    <cellStyle name="Normal 3 23" xfId="124"/>
    <cellStyle name="Normal 3 24" xfId="125"/>
    <cellStyle name="Normal 3 25" xfId="126"/>
    <cellStyle name="Normal 3 26" xfId="127"/>
    <cellStyle name="Normal 3 27" xfId="128"/>
    <cellStyle name="Normal 3 28" xfId="129"/>
    <cellStyle name="Normal 3 29" xfId="130"/>
    <cellStyle name="Normal 3 3" xfId="131"/>
    <cellStyle name="Normal 3 30" xfId="132"/>
    <cellStyle name="Normal 3 31" xfId="133"/>
    <cellStyle name="Normal 3 32" xfId="134"/>
    <cellStyle name="Normal 3 33" xfId="135"/>
    <cellStyle name="Normal 3 34" xfId="136"/>
    <cellStyle name="Normal 3 35" xfId="137"/>
    <cellStyle name="Normal 3 36" xfId="138"/>
    <cellStyle name="Normal 3 37" xfId="139"/>
    <cellStyle name="Normal 3 38" xfId="140"/>
    <cellStyle name="Normal 3 39" xfId="141"/>
    <cellStyle name="Normal 3 4" xfId="142"/>
    <cellStyle name="Normal 3 40" xfId="143"/>
    <cellStyle name="Normal 3 41" xfId="144"/>
    <cellStyle name="Normal 3 42" xfId="145"/>
    <cellStyle name="Normal 3 43" xfId="146"/>
    <cellStyle name="Normal 3 44" xfId="147"/>
    <cellStyle name="Normal 3 45" xfId="148"/>
    <cellStyle name="Normal 3 46" xfId="149"/>
    <cellStyle name="Normal 3 47" xfId="150"/>
    <cellStyle name="Normal 3 48" xfId="151"/>
    <cellStyle name="Normal 3 49" xfId="152"/>
    <cellStyle name="Normal 3 5" xfId="153"/>
    <cellStyle name="Normal 3 50" xfId="154"/>
    <cellStyle name="Normal 3 51" xfId="155"/>
    <cellStyle name="Normal 3 52" xfId="156"/>
    <cellStyle name="Normal 3 53" xfId="157"/>
    <cellStyle name="Normal 3 54" xfId="158"/>
    <cellStyle name="Normal 3 55" xfId="159"/>
    <cellStyle name="Normal 3 56" xfId="196"/>
    <cellStyle name="Normal 3 6" xfId="160"/>
    <cellStyle name="Normal 3 7" xfId="161"/>
    <cellStyle name="Normal 3 8" xfId="162"/>
    <cellStyle name="Normal 3 9" xfId="163"/>
    <cellStyle name="Normal 30" xfId="5"/>
    <cellStyle name="Normal 32" xfId="223"/>
    <cellStyle name="Normal 36" xfId="164"/>
    <cellStyle name="Normal 37" xfId="6"/>
    <cellStyle name="Normal 4" xfId="9"/>
    <cellStyle name="Normal 4 10" xfId="221"/>
    <cellStyle name="Normal 4 2" xfId="197"/>
    <cellStyle name="Normal 41" xfId="8"/>
    <cellStyle name="Normal 48" xfId="165"/>
    <cellStyle name="Normal 49" xfId="166"/>
    <cellStyle name="Normal 5" xfId="167"/>
    <cellStyle name="Normal 5 10 2 2 2" xfId="224"/>
    <cellStyle name="Normal 51" xfId="168"/>
    <cellStyle name="Normal 55" xfId="169"/>
    <cellStyle name="Normal 56" xfId="170"/>
    <cellStyle name="Normal 58" xfId="171"/>
    <cellStyle name="Normal 6" xfId="172"/>
    <cellStyle name="Normal 6 32" xfId="215"/>
    <cellStyle name="Normal 7" xfId="194"/>
    <cellStyle name="Normal 8" xfId="173"/>
    <cellStyle name="Normal 8 2" xfId="198"/>
    <cellStyle name="Normal 9" xfId="193"/>
    <cellStyle name="Normal_PRECIOS UNITARIOS" xfId="222"/>
    <cellStyle name="Notas 2" xfId="174"/>
    <cellStyle name="Notas 2 2" xfId="199"/>
    <cellStyle name="Notas 3" xfId="175"/>
    <cellStyle name="Notas 3 2" xfId="200"/>
    <cellStyle name="Notas 4" xfId="176"/>
    <cellStyle name="Notas 4 2" xfId="201"/>
    <cellStyle name="Notas 5" xfId="177"/>
    <cellStyle name="Notas 5 2" xfId="202"/>
    <cellStyle name="Notas 6" xfId="178"/>
    <cellStyle name="Notas 6 2" xfId="203"/>
    <cellStyle name="Notas 7" xfId="179"/>
    <cellStyle name="Notas 7 2" xfId="204"/>
    <cellStyle name="Notas 8" xfId="180"/>
    <cellStyle name="Notas 8 2" xfId="205"/>
    <cellStyle name="Notas 9" xfId="181"/>
    <cellStyle name="Porcentaje" xfId="213" builtinId="5"/>
    <cellStyle name="Porcentaje 2" xfId="182"/>
    <cellStyle name="Porcentual 2" xfId="10"/>
    <cellStyle name="Porcentual 2 2" xfId="206"/>
    <cellStyle name="Porcentual 2 5" xfId="13"/>
    <cellStyle name="Salida 2" xfId="183"/>
    <cellStyle name="Texto de advertencia 2" xfId="184"/>
    <cellStyle name="Texto explicativo 2" xfId="185"/>
    <cellStyle name="Título 1 2" xfId="186"/>
    <cellStyle name="Título 2 2" xfId="187"/>
    <cellStyle name="Título 3 2" xfId="188"/>
    <cellStyle name="Total 2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142875</xdr:rowOff>
    </xdr:from>
    <xdr:to>
      <xdr:col>1</xdr:col>
      <xdr:colOff>866775</xdr:colOff>
      <xdr:row>4</xdr:row>
      <xdr:rowOff>133350</xdr:rowOff>
    </xdr:to>
    <xdr:pic>
      <xdr:nvPicPr>
        <xdr:cNvPr id="2" name="Picture 133">
          <a:extLst>
            <a:ext uri="{FF2B5EF4-FFF2-40B4-BE49-F238E27FC236}">
              <a16:creationId xmlns:a16="http://schemas.microsoft.com/office/drawing/2014/main" id="{22E6B88A-AE0D-4F89-9464-D94D0FF0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33375"/>
          <a:ext cx="1190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142875</xdr:rowOff>
    </xdr:from>
    <xdr:to>
      <xdr:col>1</xdr:col>
      <xdr:colOff>866775</xdr:colOff>
      <xdr:row>4</xdr:row>
      <xdr:rowOff>133350</xdr:rowOff>
    </xdr:to>
    <xdr:pic>
      <xdr:nvPicPr>
        <xdr:cNvPr id="2" name="Picture 133">
          <a:extLst>
            <a:ext uri="{FF2B5EF4-FFF2-40B4-BE49-F238E27FC236}">
              <a16:creationId xmlns:a16="http://schemas.microsoft.com/office/drawing/2014/main" id="{22E6B88A-AE0D-4F89-9464-D94D0FF0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33375"/>
          <a:ext cx="1057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537882</xdr:colOff>
      <xdr:row>1</xdr:row>
      <xdr:rowOff>564778</xdr:rowOff>
    </xdr:from>
    <xdr:to>
      <xdr:col>2</xdr:col>
      <xdr:colOff>2937882</xdr:colOff>
      <xdr:row>3</xdr:row>
      <xdr:rowOff>522849</xdr:rowOff>
    </xdr:to>
    <xdr:pic>
      <xdr:nvPicPr>
        <xdr:cNvPr id="4" name="Picture 2" descr="D:\Desktop\logo-epa-encabezad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082" y="762002"/>
          <a:ext cx="2400000" cy="15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1</xdr:col>
      <xdr:colOff>619953</xdr:colOff>
      <xdr:row>3</xdr:row>
      <xdr:rowOff>142310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A6253F-4FE9-470A-8D59-9BFC9C5F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630"/>
          <a:ext cx="1133475" cy="68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38101</xdr:rowOff>
    </xdr:from>
    <xdr:to>
      <xdr:col>2</xdr:col>
      <xdr:colOff>628650</xdr:colOff>
      <xdr:row>3</xdr:row>
      <xdr:rowOff>131719</xdr:rowOff>
    </xdr:to>
    <xdr:pic>
      <xdr:nvPicPr>
        <xdr:cNvPr id="3" name="Picture 2" descr="D:\Desktop\logo-epa-encabezad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38126"/>
          <a:ext cx="1971675" cy="12175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errero/Desktop/PRESUPUESTOS%202019/Tunel%2019/Tunel%20(versi&#243;n%20definitiva%202018)/Gabriel/Proyectos/Pereira%20Colectores%20Quebrada%20Letras/Dise&#241;o%20y%20Chequeo%20Hidraulico%20Interceptor%20Q%20Letras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errero/Desktop/PRESUPUESTOS%202019/Tunel%2019/Tunel%20(versi&#243;n%20definitiva%202018)/Gabriel/Proyectos/Pereira%20Colectores%20Quebrada%20Letras/Dise&#241;o%20y%20Chequeo%20Hidraulico%20Interceptor%20Q%20Letra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errero/Desktop/PRESUPUESTOS%202019/Tunel%2019/Tunel%20(versi&#243;n%20definitiva%202018)/Desktop/Cotas%20AR%20Ir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 gral"/>
      <sheetName val="Diseño Chequeo LETRAS qmh Per"/>
      <sheetName val="Diseño LETRAS"/>
      <sheetName val="CANTIDADES"/>
      <sheetName val="PRESUPUESTO NUEVO"/>
      <sheetName val="PRESUPUESTO OPTIMIZACIÓN"/>
      <sheetName val="RESUMEN"/>
      <sheetName val="APU"/>
      <sheetName val="CANTIDADES 170 mill"/>
      <sheetName val="170 mi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 gral"/>
      <sheetName val="Diseño Chequeo LETRAS qmh Per"/>
      <sheetName val="Diseño LETRAS"/>
      <sheetName val="PRESUPUESTO NUEVO"/>
      <sheetName val="APU"/>
      <sheetName val="CANTIDADES"/>
      <sheetName val="PRESUPUESTO OPTIMIZACIÓN"/>
      <sheetName val="CANTIDADES 170 mill"/>
      <sheetName val="170 mi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SEÑO"/>
      <sheetName val="Express datos"/>
      <sheetName val="Cuadro resumen camaras"/>
    </sheetNames>
    <sheetDataSet>
      <sheetData sheetId="0">
        <row r="5">
          <cell r="A5" t="str">
            <v>CJ-01</v>
          </cell>
          <cell r="B5">
            <v>1156223.588</v>
          </cell>
          <cell r="C5">
            <v>1074362.7819999999</v>
          </cell>
        </row>
        <row r="6">
          <cell r="A6" t="str">
            <v>CJ-02</v>
          </cell>
          <cell r="B6">
            <v>1156243.02</v>
          </cell>
          <cell r="C6">
            <v>1074377.4539999999</v>
          </cell>
        </row>
        <row r="7">
          <cell r="A7" t="str">
            <v>CJ-03</v>
          </cell>
          <cell r="B7">
            <v>1156244.0519999999</v>
          </cell>
          <cell r="C7">
            <v>1074376.088</v>
          </cell>
        </row>
        <row r="8">
          <cell r="A8" t="str">
            <v>CJ-04</v>
          </cell>
          <cell r="B8">
            <v>1156249.1070000001</v>
          </cell>
          <cell r="C8">
            <v>1074379.905</v>
          </cell>
        </row>
        <row r="9">
          <cell r="A9" t="str">
            <v>CJ-05</v>
          </cell>
          <cell r="B9">
            <v>1156264.567</v>
          </cell>
          <cell r="C9">
            <v>1074391.578</v>
          </cell>
        </row>
        <row r="10">
          <cell r="A10" t="str">
            <v>CJ-06</v>
          </cell>
          <cell r="B10">
            <v>1156273.4099999999</v>
          </cell>
          <cell r="C10">
            <v>1074394.25</v>
          </cell>
        </row>
        <row r="11">
          <cell r="A11" t="str">
            <v>CJ-07</v>
          </cell>
          <cell r="B11">
            <v>1156284.7679999999</v>
          </cell>
          <cell r="C11">
            <v>1074403.3419999999</v>
          </cell>
        </row>
        <row r="12">
          <cell r="A12" t="str">
            <v>CJ-08</v>
          </cell>
          <cell r="B12">
            <v>1156292.7479999999</v>
          </cell>
          <cell r="C12">
            <v>1074413.4040000001</v>
          </cell>
        </row>
        <row r="13">
          <cell r="A13" t="str">
            <v>CJ-09</v>
          </cell>
          <cell r="B13">
            <v>1156315.21</v>
          </cell>
          <cell r="C13">
            <v>1074429.9450000001</v>
          </cell>
        </row>
        <row r="14">
          <cell r="A14" t="str">
            <v>CJ-10</v>
          </cell>
          <cell r="B14">
            <v>1156342.504</v>
          </cell>
          <cell r="C14">
            <v>1074451.5689999999</v>
          </cell>
        </row>
        <row r="15">
          <cell r="A15" t="str">
            <v>CI-01</v>
          </cell>
          <cell r="B15">
            <v>1156352.8689999999</v>
          </cell>
          <cell r="C15">
            <v>1074463.49</v>
          </cell>
        </row>
        <row r="16">
          <cell r="A16" t="str">
            <v>CI-02</v>
          </cell>
          <cell r="B16">
            <v>1156357.6240000001</v>
          </cell>
          <cell r="C16">
            <v>1074466.084</v>
          </cell>
        </row>
        <row r="17">
          <cell r="A17" t="str">
            <v>CI-03</v>
          </cell>
          <cell r="B17">
            <v>1156361.629</v>
          </cell>
          <cell r="C17">
            <v>1074471.061</v>
          </cell>
        </row>
        <row r="18">
          <cell r="A18" t="str">
            <v>CI-04</v>
          </cell>
          <cell r="B18">
            <v>1156365.237</v>
          </cell>
          <cell r="C18">
            <v>1074477.9850000001</v>
          </cell>
        </row>
        <row r="19">
          <cell r="A19" t="str">
            <v>CI-05</v>
          </cell>
          <cell r="B19">
            <v>1156377.8870000001</v>
          </cell>
          <cell r="C19">
            <v>1074492.047</v>
          </cell>
        </row>
        <row r="20">
          <cell r="A20" t="str">
            <v>CI-06</v>
          </cell>
          <cell r="B20">
            <v>1156387.27</v>
          </cell>
          <cell r="C20">
            <v>1074508.1599999999</v>
          </cell>
        </row>
        <row r="21">
          <cell r="A21" t="str">
            <v>CI-07</v>
          </cell>
          <cell r="B21">
            <v>1156392.4040000001</v>
          </cell>
          <cell r="C21">
            <v>1074514.7819999999</v>
          </cell>
        </row>
        <row r="22">
          <cell r="A22" t="str">
            <v>CI-08</v>
          </cell>
          <cell r="B22">
            <v>1156398.7620000001</v>
          </cell>
          <cell r="C22">
            <v>1074523.6880000001</v>
          </cell>
        </row>
        <row r="23">
          <cell r="A23" t="str">
            <v>CI-09</v>
          </cell>
          <cell r="B23">
            <v>1156420.0460000001</v>
          </cell>
          <cell r="C23">
            <v>1074553.409</v>
          </cell>
        </row>
        <row r="24">
          <cell r="A24" t="str">
            <v>CI-10</v>
          </cell>
          <cell r="B24">
            <v>1156434.5689999999</v>
          </cell>
          <cell r="C24">
            <v>1074571.888</v>
          </cell>
        </row>
        <row r="25">
          <cell r="A25" t="str">
            <v>CI-11</v>
          </cell>
          <cell r="B25">
            <v>1156439.524</v>
          </cell>
          <cell r="C25">
            <v>1074573.531</v>
          </cell>
        </row>
        <row r="26">
          <cell r="A26" t="str">
            <v>CI-12</v>
          </cell>
          <cell r="B26">
            <v>1156462.8400000001</v>
          </cell>
          <cell r="C26">
            <v>1074610.1240000001</v>
          </cell>
        </row>
        <row r="27">
          <cell r="A27" t="str">
            <v>CI-13</v>
          </cell>
          <cell r="B27">
            <v>1156468.807</v>
          </cell>
          <cell r="C27">
            <v>1074629.0919999999</v>
          </cell>
        </row>
        <row r="28">
          <cell r="A28" t="str">
            <v>CI-14</v>
          </cell>
          <cell r="B28">
            <v>1156485.3659999999</v>
          </cell>
          <cell r="C28">
            <v>1074656.2450000001</v>
          </cell>
        </row>
        <row r="29">
          <cell r="A29" t="str">
            <v>CI-15</v>
          </cell>
          <cell r="B29">
            <v>1156498.801</v>
          </cell>
          <cell r="C29">
            <v>1074665.8999999999</v>
          </cell>
        </row>
        <row r="30">
          <cell r="A30" t="str">
            <v>CI-16</v>
          </cell>
          <cell r="B30">
            <v>1156503.4280000001</v>
          </cell>
          <cell r="C30">
            <v>1074672.19</v>
          </cell>
        </row>
        <row r="31">
          <cell r="A31" t="str">
            <v>CI-17</v>
          </cell>
          <cell r="B31">
            <v>1156507.966</v>
          </cell>
          <cell r="C31">
            <v>1074685.5060000001</v>
          </cell>
        </row>
        <row r="32">
          <cell r="A32" t="str">
            <v>CI-18</v>
          </cell>
          <cell r="B32">
            <v>1156512.473</v>
          </cell>
          <cell r="C32">
            <v>1074704.926</v>
          </cell>
        </row>
        <row r="33">
          <cell r="A33" t="str">
            <v>CI-19</v>
          </cell>
          <cell r="B33">
            <v>1156525.7520000001</v>
          </cell>
          <cell r="C33">
            <v>1074731.8959999999</v>
          </cell>
        </row>
        <row r="34">
          <cell r="A34" t="str">
            <v>CI-20</v>
          </cell>
          <cell r="B34">
            <v>1156530.091</v>
          </cell>
          <cell r="C34">
            <v>1074742.3500000001</v>
          </cell>
        </row>
        <row r="35">
          <cell r="A35" t="str">
            <v>CI-21</v>
          </cell>
          <cell r="B35">
            <v>1156527.186</v>
          </cell>
          <cell r="C35">
            <v>1074754.3319999999</v>
          </cell>
        </row>
        <row r="36">
          <cell r="A36" t="str">
            <v>CI-22</v>
          </cell>
          <cell r="B36">
            <v>1156530.889</v>
          </cell>
          <cell r="C36">
            <v>1074764.091</v>
          </cell>
        </row>
        <row r="37">
          <cell r="A37" t="str">
            <v>CI-23</v>
          </cell>
          <cell r="B37">
            <v>1156535.186</v>
          </cell>
          <cell r="C37">
            <v>1074766.433</v>
          </cell>
        </row>
        <row r="38">
          <cell r="A38" t="str">
            <v>CI-24</v>
          </cell>
          <cell r="B38">
            <v>1156538.753</v>
          </cell>
          <cell r="C38">
            <v>1074765.42</v>
          </cell>
        </row>
        <row r="39">
          <cell r="A39" t="str">
            <v>CI-25</v>
          </cell>
          <cell r="B39">
            <v>1156542.8370000001</v>
          </cell>
          <cell r="C39">
            <v>1074773.1869999999</v>
          </cell>
        </row>
        <row r="40">
          <cell r="A40" t="str">
            <v>CI-26</v>
          </cell>
          <cell r="B40">
            <v>1156548.2679999999</v>
          </cell>
          <cell r="C40">
            <v>1074795.6329999999</v>
          </cell>
        </row>
        <row r="41">
          <cell r="A41" t="str">
            <v>CI-27</v>
          </cell>
          <cell r="B41">
            <v>1156551.1640000001</v>
          </cell>
          <cell r="C41">
            <v>1074812.9380000001</v>
          </cell>
        </row>
        <row r="42">
          <cell r="A42" t="str">
            <v>CI-28</v>
          </cell>
          <cell r="B42">
            <v>1156548.209</v>
          </cell>
          <cell r="C42">
            <v>1074823.7590000001</v>
          </cell>
        </row>
        <row r="43">
          <cell r="A43" t="str">
            <v>CI-29</v>
          </cell>
          <cell r="B43">
            <v>1156549.2439999999</v>
          </cell>
          <cell r="C43">
            <v>1074836.436</v>
          </cell>
        </row>
        <row r="44">
          <cell r="A44" t="str">
            <v>CI-30</v>
          </cell>
          <cell r="B44">
            <v>1156550.2139999999</v>
          </cell>
          <cell r="C44">
            <v>1074849.8629999999</v>
          </cell>
        </row>
        <row r="45">
          <cell r="A45" t="str">
            <v>CI-31</v>
          </cell>
          <cell r="B45">
            <v>1156524.7549999999</v>
          </cell>
          <cell r="C45">
            <v>1074863.0060000001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 t="str">
            <v>CLL-01</v>
          </cell>
          <cell r="B51">
            <v>1156230.4480000001</v>
          </cell>
          <cell r="C51">
            <v>1074730.568</v>
          </cell>
        </row>
        <row r="52">
          <cell r="A52" t="str">
            <v>CLL-02</v>
          </cell>
          <cell r="B52">
            <v>1156252.6310000001</v>
          </cell>
          <cell r="C52">
            <v>1074758.4269999999</v>
          </cell>
        </row>
        <row r="53">
          <cell r="A53" t="str">
            <v>CLL-03</v>
          </cell>
          <cell r="B53">
            <v>1156301.76</v>
          </cell>
          <cell r="C53">
            <v>1074732.273</v>
          </cell>
        </row>
        <row r="54">
          <cell r="A54" t="str">
            <v>CLL-04</v>
          </cell>
          <cell r="B54">
            <v>1156350.73</v>
          </cell>
          <cell r="C54">
            <v>1074706.2579999999</v>
          </cell>
        </row>
        <row r="55">
          <cell r="A55" t="str">
            <v>CLL-05</v>
          </cell>
          <cell r="B55">
            <v>1156402.0390000001</v>
          </cell>
          <cell r="C55">
            <v>1074676.4990000001</v>
          </cell>
        </row>
        <row r="56">
          <cell r="A56" t="str">
            <v>CLL-06</v>
          </cell>
          <cell r="B56">
            <v>1156380.818</v>
          </cell>
          <cell r="C56">
            <v>1074634.7150000001</v>
          </cell>
        </row>
        <row r="57">
          <cell r="A57" t="str">
            <v>CLL-07</v>
          </cell>
          <cell r="B57">
            <v>1156418.486</v>
          </cell>
          <cell r="C57">
            <v>1074611.78</v>
          </cell>
        </row>
        <row r="58">
          <cell r="A58" t="str">
            <v>CLL-08</v>
          </cell>
          <cell r="B58">
            <v>1156425.3230000001</v>
          </cell>
          <cell r="C58">
            <v>1074607.6259999999</v>
          </cell>
        </row>
        <row r="59">
          <cell r="A59" t="str">
            <v>CLL-09</v>
          </cell>
          <cell r="B59">
            <v>1156454.7849999999</v>
          </cell>
          <cell r="C59">
            <v>1074661.2339999999</v>
          </cell>
        </row>
        <row r="60">
          <cell r="A60" t="str">
            <v>CLL-10</v>
          </cell>
          <cell r="B60">
            <v>1156484.9979999999</v>
          </cell>
          <cell r="C60">
            <v>1074714.2209999999</v>
          </cell>
        </row>
        <row r="61">
          <cell r="A61" t="str">
            <v>DES-01</v>
          </cell>
          <cell r="B61">
            <v>1156519.6359999999</v>
          </cell>
          <cell r="C61">
            <v>1074697.7039999999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 t="str">
            <v>CBZ-01</v>
          </cell>
          <cell r="B64">
            <v>1156248.1359999999</v>
          </cell>
          <cell r="C64">
            <v>1074650.0719999999</v>
          </cell>
        </row>
        <row r="65">
          <cell r="A65" t="str">
            <v>CLL-11</v>
          </cell>
          <cell r="B65">
            <v>1156260.0260000001</v>
          </cell>
          <cell r="C65">
            <v>1074647.8670000001</v>
          </cell>
        </row>
        <row r="66">
          <cell r="A66" t="str">
            <v>CLL-12</v>
          </cell>
          <cell r="B66">
            <v>1156267.1089999999</v>
          </cell>
          <cell r="C66">
            <v>1074663.574</v>
          </cell>
        </row>
        <row r="67">
          <cell r="A67" t="str">
            <v>CLL-13</v>
          </cell>
          <cell r="B67">
            <v>1156279.8230000001</v>
          </cell>
          <cell r="C67">
            <v>1074691.7690000001</v>
          </cell>
        </row>
        <row r="68">
          <cell r="A68" t="str">
            <v>CLL-14</v>
          </cell>
          <cell r="B68">
            <v>1156327.5919999999</v>
          </cell>
          <cell r="C68">
            <v>1074666.5930000001</v>
          </cell>
        </row>
        <row r="69">
          <cell r="A69" t="str">
            <v>CLL-04</v>
          </cell>
          <cell r="B69">
            <v>1156350.73</v>
          </cell>
          <cell r="C69">
            <v>1074706.2579999999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1074706.2579999999</v>
          </cell>
        </row>
        <row r="72">
          <cell r="A72">
            <v>0</v>
          </cell>
          <cell r="B72">
            <v>0</v>
          </cell>
          <cell r="C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view="pageBreakPreview" topLeftCell="A100" zoomScale="70" zoomScaleNormal="100" zoomScaleSheetLayoutView="70" workbookViewId="0">
      <selection activeCell="H115" sqref="H115:K115"/>
    </sheetView>
  </sheetViews>
  <sheetFormatPr baseColWidth="10" defaultColWidth="11.5546875" defaultRowHeight="13.2" x14ac:dyDescent="0.25"/>
  <cols>
    <col min="1" max="1" width="9.44140625" style="463" bestFit="1" customWidth="1"/>
    <col min="2" max="3" width="17" style="463" customWidth="1"/>
    <col min="4" max="4" width="24.33203125" style="463" customWidth="1"/>
    <col min="5" max="5" width="9" style="463" customWidth="1"/>
    <col min="6" max="6" width="11.109375" style="463" customWidth="1"/>
    <col min="7" max="8" width="13.44140625" style="463" customWidth="1"/>
    <col min="9" max="11" width="4.6640625" style="463" customWidth="1"/>
    <col min="12" max="12" width="11.5546875" style="463"/>
    <col min="13" max="13" width="14.6640625" style="463" bestFit="1" customWidth="1"/>
    <col min="14" max="257" width="11.5546875" style="463"/>
    <col min="258" max="258" width="7.6640625" style="463" customWidth="1"/>
    <col min="259" max="259" width="17" style="463" customWidth="1"/>
    <col min="260" max="260" width="24.33203125" style="463" customWidth="1"/>
    <col min="261" max="261" width="9" style="463" customWidth="1"/>
    <col min="262" max="262" width="11.109375" style="463" customWidth="1"/>
    <col min="263" max="264" width="13.44140625" style="463" customWidth="1"/>
    <col min="265" max="267" width="4.6640625" style="463" customWidth="1"/>
    <col min="268" max="268" width="11.5546875" style="463"/>
    <col min="269" max="269" width="13.33203125" style="463" bestFit="1" customWidth="1"/>
    <col min="270" max="513" width="11.5546875" style="463"/>
    <col min="514" max="514" width="7.6640625" style="463" customWidth="1"/>
    <col min="515" max="515" width="17" style="463" customWidth="1"/>
    <col min="516" max="516" width="24.33203125" style="463" customWidth="1"/>
    <col min="517" max="517" width="9" style="463" customWidth="1"/>
    <col min="518" max="518" width="11.109375" style="463" customWidth="1"/>
    <col min="519" max="520" width="13.44140625" style="463" customWidth="1"/>
    <col min="521" max="523" width="4.6640625" style="463" customWidth="1"/>
    <col min="524" max="524" width="11.5546875" style="463"/>
    <col min="525" max="525" width="13.33203125" style="463" bestFit="1" customWidth="1"/>
    <col min="526" max="769" width="11.5546875" style="463"/>
    <col min="770" max="770" width="7.6640625" style="463" customWidth="1"/>
    <col min="771" max="771" width="17" style="463" customWidth="1"/>
    <col min="772" max="772" width="24.33203125" style="463" customWidth="1"/>
    <col min="773" max="773" width="9" style="463" customWidth="1"/>
    <col min="774" max="774" width="11.109375" style="463" customWidth="1"/>
    <col min="775" max="776" width="13.44140625" style="463" customWidth="1"/>
    <col min="777" max="779" width="4.6640625" style="463" customWidth="1"/>
    <col min="780" max="780" width="11.5546875" style="463"/>
    <col min="781" max="781" width="13.33203125" style="463" bestFit="1" customWidth="1"/>
    <col min="782" max="1025" width="11.5546875" style="463"/>
    <col min="1026" max="1026" width="7.6640625" style="463" customWidth="1"/>
    <col min="1027" max="1027" width="17" style="463" customWidth="1"/>
    <col min="1028" max="1028" width="24.33203125" style="463" customWidth="1"/>
    <col min="1029" max="1029" width="9" style="463" customWidth="1"/>
    <col min="1030" max="1030" width="11.109375" style="463" customWidth="1"/>
    <col min="1031" max="1032" width="13.44140625" style="463" customWidth="1"/>
    <col min="1033" max="1035" width="4.6640625" style="463" customWidth="1"/>
    <col min="1036" max="1036" width="11.5546875" style="463"/>
    <col min="1037" max="1037" width="13.33203125" style="463" bestFit="1" customWidth="1"/>
    <col min="1038" max="1281" width="11.5546875" style="463"/>
    <col min="1282" max="1282" width="7.6640625" style="463" customWidth="1"/>
    <col min="1283" max="1283" width="17" style="463" customWidth="1"/>
    <col min="1284" max="1284" width="24.33203125" style="463" customWidth="1"/>
    <col min="1285" max="1285" width="9" style="463" customWidth="1"/>
    <col min="1286" max="1286" width="11.109375" style="463" customWidth="1"/>
    <col min="1287" max="1288" width="13.44140625" style="463" customWidth="1"/>
    <col min="1289" max="1291" width="4.6640625" style="463" customWidth="1"/>
    <col min="1292" max="1292" width="11.5546875" style="463"/>
    <col min="1293" max="1293" width="13.33203125" style="463" bestFit="1" customWidth="1"/>
    <col min="1294" max="1537" width="11.5546875" style="463"/>
    <col min="1538" max="1538" width="7.6640625" style="463" customWidth="1"/>
    <col min="1539" max="1539" width="17" style="463" customWidth="1"/>
    <col min="1540" max="1540" width="24.33203125" style="463" customWidth="1"/>
    <col min="1541" max="1541" width="9" style="463" customWidth="1"/>
    <col min="1542" max="1542" width="11.109375" style="463" customWidth="1"/>
    <col min="1543" max="1544" width="13.44140625" style="463" customWidth="1"/>
    <col min="1545" max="1547" width="4.6640625" style="463" customWidth="1"/>
    <col min="1548" max="1548" width="11.5546875" style="463"/>
    <col min="1549" max="1549" width="13.33203125" style="463" bestFit="1" customWidth="1"/>
    <col min="1550" max="1793" width="11.5546875" style="463"/>
    <col min="1794" max="1794" width="7.6640625" style="463" customWidth="1"/>
    <col min="1795" max="1795" width="17" style="463" customWidth="1"/>
    <col min="1796" max="1796" width="24.33203125" style="463" customWidth="1"/>
    <col min="1797" max="1797" width="9" style="463" customWidth="1"/>
    <col min="1798" max="1798" width="11.109375" style="463" customWidth="1"/>
    <col min="1799" max="1800" width="13.44140625" style="463" customWidth="1"/>
    <col min="1801" max="1803" width="4.6640625" style="463" customWidth="1"/>
    <col min="1804" max="1804" width="11.5546875" style="463"/>
    <col min="1805" max="1805" width="13.33203125" style="463" bestFit="1" customWidth="1"/>
    <col min="1806" max="2049" width="11.5546875" style="463"/>
    <col min="2050" max="2050" width="7.6640625" style="463" customWidth="1"/>
    <col min="2051" max="2051" width="17" style="463" customWidth="1"/>
    <col min="2052" max="2052" width="24.33203125" style="463" customWidth="1"/>
    <col min="2053" max="2053" width="9" style="463" customWidth="1"/>
    <col min="2054" max="2054" width="11.109375" style="463" customWidth="1"/>
    <col min="2055" max="2056" width="13.44140625" style="463" customWidth="1"/>
    <col min="2057" max="2059" width="4.6640625" style="463" customWidth="1"/>
    <col min="2060" max="2060" width="11.5546875" style="463"/>
    <col min="2061" max="2061" width="13.33203125" style="463" bestFit="1" customWidth="1"/>
    <col min="2062" max="2305" width="11.5546875" style="463"/>
    <col min="2306" max="2306" width="7.6640625" style="463" customWidth="1"/>
    <col min="2307" max="2307" width="17" style="463" customWidth="1"/>
    <col min="2308" max="2308" width="24.33203125" style="463" customWidth="1"/>
    <col min="2309" max="2309" width="9" style="463" customWidth="1"/>
    <col min="2310" max="2310" width="11.109375" style="463" customWidth="1"/>
    <col min="2311" max="2312" width="13.44140625" style="463" customWidth="1"/>
    <col min="2313" max="2315" width="4.6640625" style="463" customWidth="1"/>
    <col min="2316" max="2316" width="11.5546875" style="463"/>
    <col min="2317" max="2317" width="13.33203125" style="463" bestFit="1" customWidth="1"/>
    <col min="2318" max="2561" width="11.5546875" style="463"/>
    <col min="2562" max="2562" width="7.6640625" style="463" customWidth="1"/>
    <col min="2563" max="2563" width="17" style="463" customWidth="1"/>
    <col min="2564" max="2564" width="24.33203125" style="463" customWidth="1"/>
    <col min="2565" max="2565" width="9" style="463" customWidth="1"/>
    <col min="2566" max="2566" width="11.109375" style="463" customWidth="1"/>
    <col min="2567" max="2568" width="13.44140625" style="463" customWidth="1"/>
    <col min="2569" max="2571" width="4.6640625" style="463" customWidth="1"/>
    <col min="2572" max="2572" width="11.5546875" style="463"/>
    <col min="2573" max="2573" width="13.33203125" style="463" bestFit="1" customWidth="1"/>
    <col min="2574" max="2817" width="11.5546875" style="463"/>
    <col min="2818" max="2818" width="7.6640625" style="463" customWidth="1"/>
    <col min="2819" max="2819" width="17" style="463" customWidth="1"/>
    <col min="2820" max="2820" width="24.33203125" style="463" customWidth="1"/>
    <col min="2821" max="2821" width="9" style="463" customWidth="1"/>
    <col min="2822" max="2822" width="11.109375" style="463" customWidth="1"/>
    <col min="2823" max="2824" width="13.44140625" style="463" customWidth="1"/>
    <col min="2825" max="2827" width="4.6640625" style="463" customWidth="1"/>
    <col min="2828" max="2828" width="11.5546875" style="463"/>
    <col min="2829" max="2829" width="13.33203125" style="463" bestFit="1" customWidth="1"/>
    <col min="2830" max="3073" width="11.5546875" style="463"/>
    <col min="3074" max="3074" width="7.6640625" style="463" customWidth="1"/>
    <col min="3075" max="3075" width="17" style="463" customWidth="1"/>
    <col min="3076" max="3076" width="24.33203125" style="463" customWidth="1"/>
    <col min="3077" max="3077" width="9" style="463" customWidth="1"/>
    <col min="3078" max="3078" width="11.109375" style="463" customWidth="1"/>
    <col min="3079" max="3080" width="13.44140625" style="463" customWidth="1"/>
    <col min="3081" max="3083" width="4.6640625" style="463" customWidth="1"/>
    <col min="3084" max="3084" width="11.5546875" style="463"/>
    <col min="3085" max="3085" width="13.33203125" style="463" bestFit="1" customWidth="1"/>
    <col min="3086" max="3329" width="11.5546875" style="463"/>
    <col min="3330" max="3330" width="7.6640625" style="463" customWidth="1"/>
    <col min="3331" max="3331" width="17" style="463" customWidth="1"/>
    <col min="3332" max="3332" width="24.33203125" style="463" customWidth="1"/>
    <col min="3333" max="3333" width="9" style="463" customWidth="1"/>
    <col min="3334" max="3334" width="11.109375" style="463" customWidth="1"/>
    <col min="3335" max="3336" width="13.44140625" style="463" customWidth="1"/>
    <col min="3337" max="3339" width="4.6640625" style="463" customWidth="1"/>
    <col min="3340" max="3340" width="11.5546875" style="463"/>
    <col min="3341" max="3341" width="13.33203125" style="463" bestFit="1" customWidth="1"/>
    <col min="3342" max="3585" width="11.5546875" style="463"/>
    <col min="3586" max="3586" width="7.6640625" style="463" customWidth="1"/>
    <col min="3587" max="3587" width="17" style="463" customWidth="1"/>
    <col min="3588" max="3588" width="24.33203125" style="463" customWidth="1"/>
    <col min="3589" max="3589" width="9" style="463" customWidth="1"/>
    <col min="3590" max="3590" width="11.109375" style="463" customWidth="1"/>
    <col min="3591" max="3592" width="13.44140625" style="463" customWidth="1"/>
    <col min="3593" max="3595" width="4.6640625" style="463" customWidth="1"/>
    <col min="3596" max="3596" width="11.5546875" style="463"/>
    <col min="3597" max="3597" width="13.33203125" style="463" bestFit="1" customWidth="1"/>
    <col min="3598" max="3841" width="11.5546875" style="463"/>
    <col min="3842" max="3842" width="7.6640625" style="463" customWidth="1"/>
    <col min="3843" max="3843" width="17" style="463" customWidth="1"/>
    <col min="3844" max="3844" width="24.33203125" style="463" customWidth="1"/>
    <col min="3845" max="3845" width="9" style="463" customWidth="1"/>
    <col min="3846" max="3846" width="11.109375" style="463" customWidth="1"/>
    <col min="3847" max="3848" width="13.44140625" style="463" customWidth="1"/>
    <col min="3849" max="3851" width="4.6640625" style="463" customWidth="1"/>
    <col min="3852" max="3852" width="11.5546875" style="463"/>
    <col min="3853" max="3853" width="13.33203125" style="463" bestFit="1" customWidth="1"/>
    <col min="3854" max="4097" width="11.5546875" style="463"/>
    <col min="4098" max="4098" width="7.6640625" style="463" customWidth="1"/>
    <col min="4099" max="4099" width="17" style="463" customWidth="1"/>
    <col min="4100" max="4100" width="24.33203125" style="463" customWidth="1"/>
    <col min="4101" max="4101" width="9" style="463" customWidth="1"/>
    <col min="4102" max="4102" width="11.109375" style="463" customWidth="1"/>
    <col min="4103" max="4104" width="13.44140625" style="463" customWidth="1"/>
    <col min="4105" max="4107" width="4.6640625" style="463" customWidth="1"/>
    <col min="4108" max="4108" width="11.5546875" style="463"/>
    <col min="4109" max="4109" width="13.33203125" style="463" bestFit="1" customWidth="1"/>
    <col min="4110" max="4353" width="11.5546875" style="463"/>
    <col min="4354" max="4354" width="7.6640625" style="463" customWidth="1"/>
    <col min="4355" max="4355" width="17" style="463" customWidth="1"/>
    <col min="4356" max="4356" width="24.33203125" style="463" customWidth="1"/>
    <col min="4357" max="4357" width="9" style="463" customWidth="1"/>
    <col min="4358" max="4358" width="11.109375" style="463" customWidth="1"/>
    <col min="4359" max="4360" width="13.44140625" style="463" customWidth="1"/>
    <col min="4361" max="4363" width="4.6640625" style="463" customWidth="1"/>
    <col min="4364" max="4364" width="11.5546875" style="463"/>
    <col min="4365" max="4365" width="13.33203125" style="463" bestFit="1" customWidth="1"/>
    <col min="4366" max="4609" width="11.5546875" style="463"/>
    <col min="4610" max="4610" width="7.6640625" style="463" customWidth="1"/>
    <col min="4611" max="4611" width="17" style="463" customWidth="1"/>
    <col min="4612" max="4612" width="24.33203125" style="463" customWidth="1"/>
    <col min="4613" max="4613" width="9" style="463" customWidth="1"/>
    <col min="4614" max="4614" width="11.109375" style="463" customWidth="1"/>
    <col min="4615" max="4616" width="13.44140625" style="463" customWidth="1"/>
    <col min="4617" max="4619" width="4.6640625" style="463" customWidth="1"/>
    <col min="4620" max="4620" width="11.5546875" style="463"/>
    <col min="4621" max="4621" width="13.33203125" style="463" bestFit="1" customWidth="1"/>
    <col min="4622" max="4865" width="11.5546875" style="463"/>
    <col min="4866" max="4866" width="7.6640625" style="463" customWidth="1"/>
    <col min="4867" max="4867" width="17" style="463" customWidth="1"/>
    <col min="4868" max="4868" width="24.33203125" style="463" customWidth="1"/>
    <col min="4869" max="4869" width="9" style="463" customWidth="1"/>
    <col min="4870" max="4870" width="11.109375" style="463" customWidth="1"/>
    <col min="4871" max="4872" width="13.44140625" style="463" customWidth="1"/>
    <col min="4873" max="4875" width="4.6640625" style="463" customWidth="1"/>
    <col min="4876" max="4876" width="11.5546875" style="463"/>
    <col min="4877" max="4877" width="13.33203125" style="463" bestFit="1" customWidth="1"/>
    <col min="4878" max="5121" width="11.5546875" style="463"/>
    <col min="5122" max="5122" width="7.6640625" style="463" customWidth="1"/>
    <col min="5123" max="5123" width="17" style="463" customWidth="1"/>
    <col min="5124" max="5124" width="24.33203125" style="463" customWidth="1"/>
    <col min="5125" max="5125" width="9" style="463" customWidth="1"/>
    <col min="5126" max="5126" width="11.109375" style="463" customWidth="1"/>
    <col min="5127" max="5128" width="13.44140625" style="463" customWidth="1"/>
    <col min="5129" max="5131" width="4.6640625" style="463" customWidth="1"/>
    <col min="5132" max="5132" width="11.5546875" style="463"/>
    <col min="5133" max="5133" width="13.33203125" style="463" bestFit="1" customWidth="1"/>
    <col min="5134" max="5377" width="11.5546875" style="463"/>
    <col min="5378" max="5378" width="7.6640625" style="463" customWidth="1"/>
    <col min="5379" max="5379" width="17" style="463" customWidth="1"/>
    <col min="5380" max="5380" width="24.33203125" style="463" customWidth="1"/>
    <col min="5381" max="5381" width="9" style="463" customWidth="1"/>
    <col min="5382" max="5382" width="11.109375" style="463" customWidth="1"/>
    <col min="5383" max="5384" width="13.44140625" style="463" customWidth="1"/>
    <col min="5385" max="5387" width="4.6640625" style="463" customWidth="1"/>
    <col min="5388" max="5388" width="11.5546875" style="463"/>
    <col min="5389" max="5389" width="13.33203125" style="463" bestFit="1" customWidth="1"/>
    <col min="5390" max="5633" width="11.5546875" style="463"/>
    <col min="5634" max="5634" width="7.6640625" style="463" customWidth="1"/>
    <col min="5635" max="5635" width="17" style="463" customWidth="1"/>
    <col min="5636" max="5636" width="24.33203125" style="463" customWidth="1"/>
    <col min="5637" max="5637" width="9" style="463" customWidth="1"/>
    <col min="5638" max="5638" width="11.109375" style="463" customWidth="1"/>
    <col min="5639" max="5640" width="13.44140625" style="463" customWidth="1"/>
    <col min="5641" max="5643" width="4.6640625" style="463" customWidth="1"/>
    <col min="5644" max="5644" width="11.5546875" style="463"/>
    <col min="5645" max="5645" width="13.33203125" style="463" bestFit="1" customWidth="1"/>
    <col min="5646" max="5889" width="11.5546875" style="463"/>
    <col min="5890" max="5890" width="7.6640625" style="463" customWidth="1"/>
    <col min="5891" max="5891" width="17" style="463" customWidth="1"/>
    <col min="5892" max="5892" width="24.33203125" style="463" customWidth="1"/>
    <col min="5893" max="5893" width="9" style="463" customWidth="1"/>
    <col min="5894" max="5894" width="11.109375" style="463" customWidth="1"/>
    <col min="5895" max="5896" width="13.44140625" style="463" customWidth="1"/>
    <col min="5897" max="5899" width="4.6640625" style="463" customWidth="1"/>
    <col min="5900" max="5900" width="11.5546875" style="463"/>
    <col min="5901" max="5901" width="13.33203125" style="463" bestFit="1" customWidth="1"/>
    <col min="5902" max="6145" width="11.5546875" style="463"/>
    <col min="6146" max="6146" width="7.6640625" style="463" customWidth="1"/>
    <col min="6147" max="6147" width="17" style="463" customWidth="1"/>
    <col min="6148" max="6148" width="24.33203125" style="463" customWidth="1"/>
    <col min="6149" max="6149" width="9" style="463" customWidth="1"/>
    <col min="6150" max="6150" width="11.109375" style="463" customWidth="1"/>
    <col min="6151" max="6152" width="13.44140625" style="463" customWidth="1"/>
    <col min="6153" max="6155" width="4.6640625" style="463" customWidth="1"/>
    <col min="6156" max="6156" width="11.5546875" style="463"/>
    <col min="6157" max="6157" width="13.33203125" style="463" bestFit="1" customWidth="1"/>
    <col min="6158" max="6401" width="11.5546875" style="463"/>
    <col min="6402" max="6402" width="7.6640625" style="463" customWidth="1"/>
    <col min="6403" max="6403" width="17" style="463" customWidth="1"/>
    <col min="6404" max="6404" width="24.33203125" style="463" customWidth="1"/>
    <col min="6405" max="6405" width="9" style="463" customWidth="1"/>
    <col min="6406" max="6406" width="11.109375" style="463" customWidth="1"/>
    <col min="6407" max="6408" width="13.44140625" style="463" customWidth="1"/>
    <col min="6409" max="6411" width="4.6640625" style="463" customWidth="1"/>
    <col min="6412" max="6412" width="11.5546875" style="463"/>
    <col min="6413" max="6413" width="13.33203125" style="463" bestFit="1" customWidth="1"/>
    <col min="6414" max="6657" width="11.5546875" style="463"/>
    <col min="6658" max="6658" width="7.6640625" style="463" customWidth="1"/>
    <col min="6659" max="6659" width="17" style="463" customWidth="1"/>
    <col min="6660" max="6660" width="24.33203125" style="463" customWidth="1"/>
    <col min="6661" max="6661" width="9" style="463" customWidth="1"/>
    <col min="6662" max="6662" width="11.109375" style="463" customWidth="1"/>
    <col min="6663" max="6664" width="13.44140625" style="463" customWidth="1"/>
    <col min="6665" max="6667" width="4.6640625" style="463" customWidth="1"/>
    <col min="6668" max="6668" width="11.5546875" style="463"/>
    <col min="6669" max="6669" width="13.33203125" style="463" bestFit="1" customWidth="1"/>
    <col min="6670" max="6913" width="11.5546875" style="463"/>
    <col min="6914" max="6914" width="7.6640625" style="463" customWidth="1"/>
    <col min="6915" max="6915" width="17" style="463" customWidth="1"/>
    <col min="6916" max="6916" width="24.33203125" style="463" customWidth="1"/>
    <col min="6917" max="6917" width="9" style="463" customWidth="1"/>
    <col min="6918" max="6918" width="11.109375" style="463" customWidth="1"/>
    <col min="6919" max="6920" width="13.44140625" style="463" customWidth="1"/>
    <col min="6921" max="6923" width="4.6640625" style="463" customWidth="1"/>
    <col min="6924" max="6924" width="11.5546875" style="463"/>
    <col min="6925" max="6925" width="13.33203125" style="463" bestFit="1" customWidth="1"/>
    <col min="6926" max="7169" width="11.5546875" style="463"/>
    <col min="7170" max="7170" width="7.6640625" style="463" customWidth="1"/>
    <col min="7171" max="7171" width="17" style="463" customWidth="1"/>
    <col min="7172" max="7172" width="24.33203125" style="463" customWidth="1"/>
    <col min="7173" max="7173" width="9" style="463" customWidth="1"/>
    <col min="7174" max="7174" width="11.109375" style="463" customWidth="1"/>
    <col min="7175" max="7176" width="13.44140625" style="463" customWidth="1"/>
    <col min="7177" max="7179" width="4.6640625" style="463" customWidth="1"/>
    <col min="7180" max="7180" width="11.5546875" style="463"/>
    <col min="7181" max="7181" width="13.33203125" style="463" bestFit="1" customWidth="1"/>
    <col min="7182" max="7425" width="11.5546875" style="463"/>
    <col min="7426" max="7426" width="7.6640625" style="463" customWidth="1"/>
    <col min="7427" max="7427" width="17" style="463" customWidth="1"/>
    <col min="7428" max="7428" width="24.33203125" style="463" customWidth="1"/>
    <col min="7429" max="7429" width="9" style="463" customWidth="1"/>
    <col min="7430" max="7430" width="11.109375" style="463" customWidth="1"/>
    <col min="7431" max="7432" width="13.44140625" style="463" customWidth="1"/>
    <col min="7433" max="7435" width="4.6640625" style="463" customWidth="1"/>
    <col min="7436" max="7436" width="11.5546875" style="463"/>
    <col min="7437" max="7437" width="13.33203125" style="463" bestFit="1" customWidth="1"/>
    <col min="7438" max="7681" width="11.5546875" style="463"/>
    <col min="7682" max="7682" width="7.6640625" style="463" customWidth="1"/>
    <col min="7683" max="7683" width="17" style="463" customWidth="1"/>
    <col min="7684" max="7684" width="24.33203125" style="463" customWidth="1"/>
    <col min="7685" max="7685" width="9" style="463" customWidth="1"/>
    <col min="7686" max="7686" width="11.109375" style="463" customWidth="1"/>
    <col min="7687" max="7688" width="13.44140625" style="463" customWidth="1"/>
    <col min="7689" max="7691" width="4.6640625" style="463" customWidth="1"/>
    <col min="7692" max="7692" width="11.5546875" style="463"/>
    <col min="7693" max="7693" width="13.33203125" style="463" bestFit="1" customWidth="1"/>
    <col min="7694" max="7937" width="11.5546875" style="463"/>
    <col min="7938" max="7938" width="7.6640625" style="463" customWidth="1"/>
    <col min="7939" max="7939" width="17" style="463" customWidth="1"/>
    <col min="7940" max="7940" width="24.33203125" style="463" customWidth="1"/>
    <col min="7941" max="7941" width="9" style="463" customWidth="1"/>
    <col min="7942" max="7942" width="11.109375" style="463" customWidth="1"/>
    <col min="7943" max="7944" width="13.44140625" style="463" customWidth="1"/>
    <col min="7945" max="7947" width="4.6640625" style="463" customWidth="1"/>
    <col min="7948" max="7948" width="11.5546875" style="463"/>
    <col min="7949" max="7949" width="13.33203125" style="463" bestFit="1" customWidth="1"/>
    <col min="7950" max="8193" width="11.5546875" style="463"/>
    <col min="8194" max="8194" width="7.6640625" style="463" customWidth="1"/>
    <col min="8195" max="8195" width="17" style="463" customWidth="1"/>
    <col min="8196" max="8196" width="24.33203125" style="463" customWidth="1"/>
    <col min="8197" max="8197" width="9" style="463" customWidth="1"/>
    <col min="8198" max="8198" width="11.109375" style="463" customWidth="1"/>
    <col min="8199" max="8200" width="13.44140625" style="463" customWidth="1"/>
    <col min="8201" max="8203" width="4.6640625" style="463" customWidth="1"/>
    <col min="8204" max="8204" width="11.5546875" style="463"/>
    <col min="8205" max="8205" width="13.33203125" style="463" bestFit="1" customWidth="1"/>
    <col min="8206" max="8449" width="11.5546875" style="463"/>
    <col min="8450" max="8450" width="7.6640625" style="463" customWidth="1"/>
    <col min="8451" max="8451" width="17" style="463" customWidth="1"/>
    <col min="8452" max="8452" width="24.33203125" style="463" customWidth="1"/>
    <col min="8453" max="8453" width="9" style="463" customWidth="1"/>
    <col min="8454" max="8454" width="11.109375" style="463" customWidth="1"/>
    <col min="8455" max="8456" width="13.44140625" style="463" customWidth="1"/>
    <col min="8457" max="8459" width="4.6640625" style="463" customWidth="1"/>
    <col min="8460" max="8460" width="11.5546875" style="463"/>
    <col min="8461" max="8461" width="13.33203125" style="463" bestFit="1" customWidth="1"/>
    <col min="8462" max="8705" width="11.5546875" style="463"/>
    <col min="8706" max="8706" width="7.6640625" style="463" customWidth="1"/>
    <col min="8707" max="8707" width="17" style="463" customWidth="1"/>
    <col min="8708" max="8708" width="24.33203125" style="463" customWidth="1"/>
    <col min="8709" max="8709" width="9" style="463" customWidth="1"/>
    <col min="8710" max="8710" width="11.109375" style="463" customWidth="1"/>
    <col min="8711" max="8712" width="13.44140625" style="463" customWidth="1"/>
    <col min="8713" max="8715" width="4.6640625" style="463" customWidth="1"/>
    <col min="8716" max="8716" width="11.5546875" style="463"/>
    <col min="8717" max="8717" width="13.33203125" style="463" bestFit="1" customWidth="1"/>
    <col min="8718" max="8961" width="11.5546875" style="463"/>
    <col min="8962" max="8962" width="7.6640625" style="463" customWidth="1"/>
    <col min="8963" max="8963" width="17" style="463" customWidth="1"/>
    <col min="8964" max="8964" width="24.33203125" style="463" customWidth="1"/>
    <col min="8965" max="8965" width="9" style="463" customWidth="1"/>
    <col min="8966" max="8966" width="11.109375" style="463" customWidth="1"/>
    <col min="8967" max="8968" width="13.44140625" style="463" customWidth="1"/>
    <col min="8969" max="8971" width="4.6640625" style="463" customWidth="1"/>
    <col min="8972" max="8972" width="11.5546875" style="463"/>
    <col min="8973" max="8973" width="13.33203125" style="463" bestFit="1" customWidth="1"/>
    <col min="8974" max="9217" width="11.5546875" style="463"/>
    <col min="9218" max="9218" width="7.6640625" style="463" customWidth="1"/>
    <col min="9219" max="9219" width="17" style="463" customWidth="1"/>
    <col min="9220" max="9220" width="24.33203125" style="463" customWidth="1"/>
    <col min="9221" max="9221" width="9" style="463" customWidth="1"/>
    <col min="9222" max="9222" width="11.109375" style="463" customWidth="1"/>
    <col min="9223" max="9224" width="13.44140625" style="463" customWidth="1"/>
    <col min="9225" max="9227" width="4.6640625" style="463" customWidth="1"/>
    <col min="9228" max="9228" width="11.5546875" style="463"/>
    <col min="9229" max="9229" width="13.33203125" style="463" bestFit="1" customWidth="1"/>
    <col min="9230" max="9473" width="11.5546875" style="463"/>
    <col min="9474" max="9474" width="7.6640625" style="463" customWidth="1"/>
    <col min="9475" max="9475" width="17" style="463" customWidth="1"/>
    <col min="9476" max="9476" width="24.33203125" style="463" customWidth="1"/>
    <col min="9477" max="9477" width="9" style="463" customWidth="1"/>
    <col min="9478" max="9478" width="11.109375" style="463" customWidth="1"/>
    <col min="9479" max="9480" width="13.44140625" style="463" customWidth="1"/>
    <col min="9481" max="9483" width="4.6640625" style="463" customWidth="1"/>
    <col min="9484" max="9484" width="11.5546875" style="463"/>
    <col min="9485" max="9485" width="13.33203125" style="463" bestFit="1" customWidth="1"/>
    <col min="9486" max="9729" width="11.5546875" style="463"/>
    <col min="9730" max="9730" width="7.6640625" style="463" customWidth="1"/>
    <col min="9731" max="9731" width="17" style="463" customWidth="1"/>
    <col min="9732" max="9732" width="24.33203125" style="463" customWidth="1"/>
    <col min="9733" max="9733" width="9" style="463" customWidth="1"/>
    <col min="9734" max="9734" width="11.109375" style="463" customWidth="1"/>
    <col min="9735" max="9736" width="13.44140625" style="463" customWidth="1"/>
    <col min="9737" max="9739" width="4.6640625" style="463" customWidth="1"/>
    <col min="9740" max="9740" width="11.5546875" style="463"/>
    <col min="9741" max="9741" width="13.33203125" style="463" bestFit="1" customWidth="1"/>
    <col min="9742" max="9985" width="11.5546875" style="463"/>
    <col min="9986" max="9986" width="7.6640625" style="463" customWidth="1"/>
    <col min="9987" max="9987" width="17" style="463" customWidth="1"/>
    <col min="9988" max="9988" width="24.33203125" style="463" customWidth="1"/>
    <col min="9989" max="9989" width="9" style="463" customWidth="1"/>
    <col min="9990" max="9990" width="11.109375" style="463" customWidth="1"/>
    <col min="9991" max="9992" width="13.44140625" style="463" customWidth="1"/>
    <col min="9993" max="9995" width="4.6640625" style="463" customWidth="1"/>
    <col min="9996" max="9996" width="11.5546875" style="463"/>
    <col min="9997" max="9997" width="13.33203125" style="463" bestFit="1" customWidth="1"/>
    <col min="9998" max="10241" width="11.5546875" style="463"/>
    <col min="10242" max="10242" width="7.6640625" style="463" customWidth="1"/>
    <col min="10243" max="10243" width="17" style="463" customWidth="1"/>
    <col min="10244" max="10244" width="24.33203125" style="463" customWidth="1"/>
    <col min="10245" max="10245" width="9" style="463" customWidth="1"/>
    <col min="10246" max="10246" width="11.109375" style="463" customWidth="1"/>
    <col min="10247" max="10248" width="13.44140625" style="463" customWidth="1"/>
    <col min="10249" max="10251" width="4.6640625" style="463" customWidth="1"/>
    <col min="10252" max="10252" width="11.5546875" style="463"/>
    <col min="10253" max="10253" width="13.33203125" style="463" bestFit="1" customWidth="1"/>
    <col min="10254" max="10497" width="11.5546875" style="463"/>
    <col min="10498" max="10498" width="7.6640625" style="463" customWidth="1"/>
    <col min="10499" max="10499" width="17" style="463" customWidth="1"/>
    <col min="10500" max="10500" width="24.33203125" style="463" customWidth="1"/>
    <col min="10501" max="10501" width="9" style="463" customWidth="1"/>
    <col min="10502" max="10502" width="11.109375" style="463" customWidth="1"/>
    <col min="10503" max="10504" width="13.44140625" style="463" customWidth="1"/>
    <col min="10505" max="10507" width="4.6640625" style="463" customWidth="1"/>
    <col min="10508" max="10508" width="11.5546875" style="463"/>
    <col min="10509" max="10509" width="13.33203125" style="463" bestFit="1" customWidth="1"/>
    <col min="10510" max="10753" width="11.5546875" style="463"/>
    <col min="10754" max="10754" width="7.6640625" style="463" customWidth="1"/>
    <col min="10755" max="10755" width="17" style="463" customWidth="1"/>
    <col min="10756" max="10756" width="24.33203125" style="463" customWidth="1"/>
    <col min="10757" max="10757" width="9" style="463" customWidth="1"/>
    <col min="10758" max="10758" width="11.109375" style="463" customWidth="1"/>
    <col min="10759" max="10760" width="13.44140625" style="463" customWidth="1"/>
    <col min="10761" max="10763" width="4.6640625" style="463" customWidth="1"/>
    <col min="10764" max="10764" width="11.5546875" style="463"/>
    <col min="10765" max="10765" width="13.33203125" style="463" bestFit="1" customWidth="1"/>
    <col min="10766" max="11009" width="11.5546875" style="463"/>
    <col min="11010" max="11010" width="7.6640625" style="463" customWidth="1"/>
    <col min="11011" max="11011" width="17" style="463" customWidth="1"/>
    <col min="11012" max="11012" width="24.33203125" style="463" customWidth="1"/>
    <col min="11013" max="11013" width="9" style="463" customWidth="1"/>
    <col min="11014" max="11014" width="11.109375" style="463" customWidth="1"/>
    <col min="11015" max="11016" width="13.44140625" style="463" customWidth="1"/>
    <col min="11017" max="11019" width="4.6640625" style="463" customWidth="1"/>
    <col min="11020" max="11020" width="11.5546875" style="463"/>
    <col min="11021" max="11021" width="13.33203125" style="463" bestFit="1" customWidth="1"/>
    <col min="11022" max="11265" width="11.5546875" style="463"/>
    <col min="11266" max="11266" width="7.6640625" style="463" customWidth="1"/>
    <col min="11267" max="11267" width="17" style="463" customWidth="1"/>
    <col min="11268" max="11268" width="24.33203125" style="463" customWidth="1"/>
    <col min="11269" max="11269" width="9" style="463" customWidth="1"/>
    <col min="11270" max="11270" width="11.109375" style="463" customWidth="1"/>
    <col min="11271" max="11272" width="13.44140625" style="463" customWidth="1"/>
    <col min="11273" max="11275" width="4.6640625" style="463" customWidth="1"/>
    <col min="11276" max="11276" width="11.5546875" style="463"/>
    <col min="11277" max="11277" width="13.33203125" style="463" bestFit="1" customWidth="1"/>
    <col min="11278" max="11521" width="11.5546875" style="463"/>
    <col min="11522" max="11522" width="7.6640625" style="463" customWidth="1"/>
    <col min="11523" max="11523" width="17" style="463" customWidth="1"/>
    <col min="11524" max="11524" width="24.33203125" style="463" customWidth="1"/>
    <col min="11525" max="11525" width="9" style="463" customWidth="1"/>
    <col min="11526" max="11526" width="11.109375" style="463" customWidth="1"/>
    <col min="11527" max="11528" width="13.44140625" style="463" customWidth="1"/>
    <col min="11529" max="11531" width="4.6640625" style="463" customWidth="1"/>
    <col min="11532" max="11532" width="11.5546875" style="463"/>
    <col min="11533" max="11533" width="13.33203125" style="463" bestFit="1" customWidth="1"/>
    <col min="11534" max="11777" width="11.5546875" style="463"/>
    <col min="11778" max="11778" width="7.6640625" style="463" customWidth="1"/>
    <col min="11779" max="11779" width="17" style="463" customWidth="1"/>
    <col min="11780" max="11780" width="24.33203125" style="463" customWidth="1"/>
    <col min="11781" max="11781" width="9" style="463" customWidth="1"/>
    <col min="11782" max="11782" width="11.109375" style="463" customWidth="1"/>
    <col min="11783" max="11784" width="13.44140625" style="463" customWidth="1"/>
    <col min="11785" max="11787" width="4.6640625" style="463" customWidth="1"/>
    <col min="11788" max="11788" width="11.5546875" style="463"/>
    <col min="11789" max="11789" width="13.33203125" style="463" bestFit="1" customWidth="1"/>
    <col min="11790" max="12033" width="11.5546875" style="463"/>
    <col min="12034" max="12034" width="7.6640625" style="463" customWidth="1"/>
    <col min="12035" max="12035" width="17" style="463" customWidth="1"/>
    <col min="12036" max="12036" width="24.33203125" style="463" customWidth="1"/>
    <col min="12037" max="12037" width="9" style="463" customWidth="1"/>
    <col min="12038" max="12038" width="11.109375" style="463" customWidth="1"/>
    <col min="12039" max="12040" width="13.44140625" style="463" customWidth="1"/>
    <col min="12041" max="12043" width="4.6640625" style="463" customWidth="1"/>
    <col min="12044" max="12044" width="11.5546875" style="463"/>
    <col min="12045" max="12045" width="13.33203125" style="463" bestFit="1" customWidth="1"/>
    <col min="12046" max="12289" width="11.5546875" style="463"/>
    <col min="12290" max="12290" width="7.6640625" style="463" customWidth="1"/>
    <col min="12291" max="12291" width="17" style="463" customWidth="1"/>
    <col min="12292" max="12292" width="24.33203125" style="463" customWidth="1"/>
    <col min="12293" max="12293" width="9" style="463" customWidth="1"/>
    <col min="12294" max="12294" width="11.109375" style="463" customWidth="1"/>
    <col min="12295" max="12296" width="13.44140625" style="463" customWidth="1"/>
    <col min="12297" max="12299" width="4.6640625" style="463" customWidth="1"/>
    <col min="12300" max="12300" width="11.5546875" style="463"/>
    <col min="12301" max="12301" width="13.33203125" style="463" bestFit="1" customWidth="1"/>
    <col min="12302" max="12545" width="11.5546875" style="463"/>
    <col min="12546" max="12546" width="7.6640625" style="463" customWidth="1"/>
    <col min="12547" max="12547" width="17" style="463" customWidth="1"/>
    <col min="12548" max="12548" width="24.33203125" style="463" customWidth="1"/>
    <col min="12549" max="12549" width="9" style="463" customWidth="1"/>
    <col min="12550" max="12550" width="11.109375" style="463" customWidth="1"/>
    <col min="12551" max="12552" width="13.44140625" style="463" customWidth="1"/>
    <col min="12553" max="12555" width="4.6640625" style="463" customWidth="1"/>
    <col min="12556" max="12556" width="11.5546875" style="463"/>
    <col min="12557" max="12557" width="13.33203125" style="463" bestFit="1" customWidth="1"/>
    <col min="12558" max="12801" width="11.5546875" style="463"/>
    <col min="12802" max="12802" width="7.6640625" style="463" customWidth="1"/>
    <col min="12803" max="12803" width="17" style="463" customWidth="1"/>
    <col min="12804" max="12804" width="24.33203125" style="463" customWidth="1"/>
    <col min="12805" max="12805" width="9" style="463" customWidth="1"/>
    <col min="12806" max="12806" width="11.109375" style="463" customWidth="1"/>
    <col min="12807" max="12808" width="13.44140625" style="463" customWidth="1"/>
    <col min="12809" max="12811" width="4.6640625" style="463" customWidth="1"/>
    <col min="12812" max="12812" width="11.5546875" style="463"/>
    <col min="12813" max="12813" width="13.33203125" style="463" bestFit="1" customWidth="1"/>
    <col min="12814" max="13057" width="11.5546875" style="463"/>
    <col min="13058" max="13058" width="7.6640625" style="463" customWidth="1"/>
    <col min="13059" max="13059" width="17" style="463" customWidth="1"/>
    <col min="13060" max="13060" width="24.33203125" style="463" customWidth="1"/>
    <col min="13061" max="13061" width="9" style="463" customWidth="1"/>
    <col min="13062" max="13062" width="11.109375" style="463" customWidth="1"/>
    <col min="13063" max="13064" width="13.44140625" style="463" customWidth="1"/>
    <col min="13065" max="13067" width="4.6640625" style="463" customWidth="1"/>
    <col min="13068" max="13068" width="11.5546875" style="463"/>
    <col min="13069" max="13069" width="13.33203125" style="463" bestFit="1" customWidth="1"/>
    <col min="13070" max="13313" width="11.5546875" style="463"/>
    <col min="13314" max="13314" width="7.6640625" style="463" customWidth="1"/>
    <col min="13315" max="13315" width="17" style="463" customWidth="1"/>
    <col min="13316" max="13316" width="24.33203125" style="463" customWidth="1"/>
    <col min="13317" max="13317" width="9" style="463" customWidth="1"/>
    <col min="13318" max="13318" width="11.109375" style="463" customWidth="1"/>
    <col min="13319" max="13320" width="13.44140625" style="463" customWidth="1"/>
    <col min="13321" max="13323" width="4.6640625" style="463" customWidth="1"/>
    <col min="13324" max="13324" width="11.5546875" style="463"/>
    <col min="13325" max="13325" width="13.33203125" style="463" bestFit="1" customWidth="1"/>
    <col min="13326" max="13569" width="11.5546875" style="463"/>
    <col min="13570" max="13570" width="7.6640625" style="463" customWidth="1"/>
    <col min="13571" max="13571" width="17" style="463" customWidth="1"/>
    <col min="13572" max="13572" width="24.33203125" style="463" customWidth="1"/>
    <col min="13573" max="13573" width="9" style="463" customWidth="1"/>
    <col min="13574" max="13574" width="11.109375" style="463" customWidth="1"/>
    <col min="13575" max="13576" width="13.44140625" style="463" customWidth="1"/>
    <col min="13577" max="13579" width="4.6640625" style="463" customWidth="1"/>
    <col min="13580" max="13580" width="11.5546875" style="463"/>
    <col min="13581" max="13581" width="13.33203125" style="463" bestFit="1" customWidth="1"/>
    <col min="13582" max="13825" width="11.5546875" style="463"/>
    <col min="13826" max="13826" width="7.6640625" style="463" customWidth="1"/>
    <col min="13827" max="13827" width="17" style="463" customWidth="1"/>
    <col min="13828" max="13828" width="24.33203125" style="463" customWidth="1"/>
    <col min="13829" max="13829" width="9" style="463" customWidth="1"/>
    <col min="13830" max="13830" width="11.109375" style="463" customWidth="1"/>
    <col min="13831" max="13832" width="13.44140625" style="463" customWidth="1"/>
    <col min="13833" max="13835" width="4.6640625" style="463" customWidth="1"/>
    <col min="13836" max="13836" width="11.5546875" style="463"/>
    <col min="13837" max="13837" width="13.33203125" style="463" bestFit="1" customWidth="1"/>
    <col min="13838" max="14081" width="11.5546875" style="463"/>
    <col min="14082" max="14082" width="7.6640625" style="463" customWidth="1"/>
    <col min="14083" max="14083" width="17" style="463" customWidth="1"/>
    <col min="14084" max="14084" width="24.33203125" style="463" customWidth="1"/>
    <col min="14085" max="14085" width="9" style="463" customWidth="1"/>
    <col min="14086" max="14086" width="11.109375" style="463" customWidth="1"/>
    <col min="14087" max="14088" width="13.44140625" style="463" customWidth="1"/>
    <col min="14089" max="14091" width="4.6640625" style="463" customWidth="1"/>
    <col min="14092" max="14092" width="11.5546875" style="463"/>
    <col min="14093" max="14093" width="13.33203125" style="463" bestFit="1" customWidth="1"/>
    <col min="14094" max="14337" width="11.5546875" style="463"/>
    <col min="14338" max="14338" width="7.6640625" style="463" customWidth="1"/>
    <col min="14339" max="14339" width="17" style="463" customWidth="1"/>
    <col min="14340" max="14340" width="24.33203125" style="463" customWidth="1"/>
    <col min="14341" max="14341" width="9" style="463" customWidth="1"/>
    <col min="14342" max="14342" width="11.109375" style="463" customWidth="1"/>
    <col min="14343" max="14344" width="13.44140625" style="463" customWidth="1"/>
    <col min="14345" max="14347" width="4.6640625" style="463" customWidth="1"/>
    <col min="14348" max="14348" width="11.5546875" style="463"/>
    <col min="14349" max="14349" width="13.33203125" style="463" bestFit="1" customWidth="1"/>
    <col min="14350" max="14593" width="11.5546875" style="463"/>
    <col min="14594" max="14594" width="7.6640625" style="463" customWidth="1"/>
    <col min="14595" max="14595" width="17" style="463" customWidth="1"/>
    <col min="14596" max="14596" width="24.33203125" style="463" customWidth="1"/>
    <col min="14597" max="14597" width="9" style="463" customWidth="1"/>
    <col min="14598" max="14598" width="11.109375" style="463" customWidth="1"/>
    <col min="14599" max="14600" width="13.44140625" style="463" customWidth="1"/>
    <col min="14601" max="14603" width="4.6640625" style="463" customWidth="1"/>
    <col min="14604" max="14604" width="11.5546875" style="463"/>
    <col min="14605" max="14605" width="13.33203125" style="463" bestFit="1" customWidth="1"/>
    <col min="14606" max="14849" width="11.5546875" style="463"/>
    <col min="14850" max="14850" width="7.6640625" style="463" customWidth="1"/>
    <col min="14851" max="14851" width="17" style="463" customWidth="1"/>
    <col min="14852" max="14852" width="24.33203125" style="463" customWidth="1"/>
    <col min="14853" max="14853" width="9" style="463" customWidth="1"/>
    <col min="14854" max="14854" width="11.109375" style="463" customWidth="1"/>
    <col min="14855" max="14856" width="13.44140625" style="463" customWidth="1"/>
    <col min="14857" max="14859" width="4.6640625" style="463" customWidth="1"/>
    <col min="14860" max="14860" width="11.5546875" style="463"/>
    <col min="14861" max="14861" width="13.33203125" style="463" bestFit="1" customWidth="1"/>
    <col min="14862" max="15105" width="11.5546875" style="463"/>
    <col min="15106" max="15106" width="7.6640625" style="463" customWidth="1"/>
    <col min="15107" max="15107" width="17" style="463" customWidth="1"/>
    <col min="15108" max="15108" width="24.33203125" style="463" customWidth="1"/>
    <col min="15109" max="15109" width="9" style="463" customWidth="1"/>
    <col min="15110" max="15110" width="11.109375" style="463" customWidth="1"/>
    <col min="15111" max="15112" width="13.44140625" style="463" customWidth="1"/>
    <col min="15113" max="15115" width="4.6640625" style="463" customWidth="1"/>
    <col min="15116" max="15116" width="11.5546875" style="463"/>
    <col min="15117" max="15117" width="13.33203125" style="463" bestFit="1" customWidth="1"/>
    <col min="15118" max="15361" width="11.5546875" style="463"/>
    <col min="15362" max="15362" width="7.6640625" style="463" customWidth="1"/>
    <col min="15363" max="15363" width="17" style="463" customWidth="1"/>
    <col min="15364" max="15364" width="24.33203125" style="463" customWidth="1"/>
    <col min="15365" max="15365" width="9" style="463" customWidth="1"/>
    <col min="15366" max="15366" width="11.109375" style="463" customWidth="1"/>
    <col min="15367" max="15368" width="13.44140625" style="463" customWidth="1"/>
    <col min="15369" max="15371" width="4.6640625" style="463" customWidth="1"/>
    <col min="15372" max="15372" width="11.5546875" style="463"/>
    <col min="15373" max="15373" width="13.33203125" style="463" bestFit="1" customWidth="1"/>
    <col min="15374" max="15617" width="11.5546875" style="463"/>
    <col min="15618" max="15618" width="7.6640625" style="463" customWidth="1"/>
    <col min="15619" max="15619" width="17" style="463" customWidth="1"/>
    <col min="15620" max="15620" width="24.33203125" style="463" customWidth="1"/>
    <col min="15621" max="15621" width="9" style="463" customWidth="1"/>
    <col min="15622" max="15622" width="11.109375" style="463" customWidth="1"/>
    <col min="15623" max="15624" width="13.44140625" style="463" customWidth="1"/>
    <col min="15625" max="15627" width="4.6640625" style="463" customWidth="1"/>
    <col min="15628" max="15628" width="11.5546875" style="463"/>
    <col min="15629" max="15629" width="13.33203125" style="463" bestFit="1" customWidth="1"/>
    <col min="15630" max="15873" width="11.5546875" style="463"/>
    <col min="15874" max="15874" width="7.6640625" style="463" customWidth="1"/>
    <col min="15875" max="15875" width="17" style="463" customWidth="1"/>
    <col min="15876" max="15876" width="24.33203125" style="463" customWidth="1"/>
    <col min="15877" max="15877" width="9" style="463" customWidth="1"/>
    <col min="15878" max="15878" width="11.109375" style="463" customWidth="1"/>
    <col min="15879" max="15880" width="13.44140625" style="463" customWidth="1"/>
    <col min="15881" max="15883" width="4.6640625" style="463" customWidth="1"/>
    <col min="15884" max="15884" width="11.5546875" style="463"/>
    <col min="15885" max="15885" width="13.33203125" style="463" bestFit="1" customWidth="1"/>
    <col min="15886" max="16129" width="11.5546875" style="463"/>
    <col min="16130" max="16130" width="7.6640625" style="463" customWidth="1"/>
    <col min="16131" max="16131" width="17" style="463" customWidth="1"/>
    <col min="16132" max="16132" width="24.33203125" style="463" customWidth="1"/>
    <col min="16133" max="16133" width="9" style="463" customWidth="1"/>
    <col min="16134" max="16134" width="11.109375" style="463" customWidth="1"/>
    <col min="16135" max="16136" width="13.44140625" style="463" customWidth="1"/>
    <col min="16137" max="16139" width="4.6640625" style="463" customWidth="1"/>
    <col min="16140" max="16140" width="11.5546875" style="463"/>
    <col min="16141" max="16141" width="13.33203125" style="463" bestFit="1" customWidth="1"/>
    <col min="16142" max="16384" width="11.5546875" style="463"/>
  </cols>
  <sheetData>
    <row r="1" spans="1:13" s="459" customFormat="1" ht="15" customHeight="1" x14ac:dyDescent="0.25">
      <c r="A1" s="776"/>
      <c r="B1" s="776"/>
      <c r="C1" s="776"/>
      <c r="D1" s="776"/>
      <c r="E1" s="776"/>
      <c r="F1" s="776"/>
      <c r="G1" s="777"/>
      <c r="H1" s="778" t="s">
        <v>867</v>
      </c>
      <c r="I1" s="778"/>
      <c r="J1" s="778"/>
      <c r="K1" s="778"/>
    </row>
    <row r="2" spans="1:13" s="459" customFormat="1" ht="15" customHeight="1" x14ac:dyDescent="0.25">
      <c r="A2" s="779"/>
      <c r="B2" s="779"/>
      <c r="C2" s="746" t="s">
        <v>868</v>
      </c>
      <c r="D2" s="747"/>
      <c r="E2" s="747"/>
      <c r="F2" s="747"/>
      <c r="G2" s="748"/>
      <c r="H2" s="780" t="s">
        <v>869</v>
      </c>
      <c r="I2" s="780"/>
      <c r="J2" s="780"/>
      <c r="K2" s="780"/>
    </row>
    <row r="3" spans="1:13" s="459" customFormat="1" ht="15" customHeight="1" x14ac:dyDescent="0.25">
      <c r="A3" s="779"/>
      <c r="B3" s="779"/>
      <c r="C3" s="749"/>
      <c r="D3" s="750"/>
      <c r="E3" s="750"/>
      <c r="F3" s="750"/>
      <c r="G3" s="751"/>
      <c r="H3" s="780" t="s">
        <v>870</v>
      </c>
      <c r="I3" s="780"/>
      <c r="J3" s="780"/>
      <c r="K3" s="780"/>
    </row>
    <row r="4" spans="1:13" s="459" customFormat="1" ht="15" customHeight="1" x14ac:dyDescent="0.25">
      <c r="A4" s="779"/>
      <c r="B4" s="779"/>
      <c r="C4" s="749"/>
      <c r="D4" s="750"/>
      <c r="E4" s="750"/>
      <c r="F4" s="750"/>
      <c r="G4" s="751"/>
      <c r="H4" s="780" t="s">
        <v>871</v>
      </c>
      <c r="I4" s="780"/>
      <c r="J4" s="780"/>
      <c r="K4" s="780"/>
    </row>
    <row r="5" spans="1:13" s="459" customFormat="1" ht="15" customHeight="1" x14ac:dyDescent="0.25">
      <c r="A5" s="779"/>
      <c r="B5" s="779"/>
      <c r="C5" s="752"/>
      <c r="D5" s="753"/>
      <c r="E5" s="753"/>
      <c r="F5" s="753"/>
      <c r="G5" s="754"/>
      <c r="H5" s="780" t="s">
        <v>872</v>
      </c>
      <c r="I5" s="780"/>
      <c r="J5" s="780"/>
      <c r="K5" s="780"/>
    </row>
    <row r="6" spans="1:13" s="459" customFormat="1" ht="3" customHeight="1" x14ac:dyDescent="0.25">
      <c r="A6" s="791"/>
      <c r="B6" s="792"/>
      <c r="C6" s="792"/>
      <c r="D6" s="792"/>
      <c r="E6" s="792"/>
      <c r="F6" s="792"/>
      <c r="G6" s="792"/>
      <c r="H6" s="792"/>
      <c r="I6" s="792"/>
      <c r="J6" s="792"/>
      <c r="K6" s="793"/>
    </row>
    <row r="7" spans="1:13" s="459" customFormat="1" ht="12.75" customHeight="1" x14ac:dyDescent="0.25">
      <c r="A7" s="794" t="s">
        <v>873</v>
      </c>
      <c r="B7" s="794"/>
      <c r="C7" s="755"/>
      <c r="D7" s="756"/>
      <c r="E7" s="756"/>
      <c r="F7" s="756"/>
      <c r="G7" s="757"/>
      <c r="H7" s="795" t="s">
        <v>874</v>
      </c>
      <c r="I7" s="460" t="s">
        <v>875</v>
      </c>
      <c r="J7" s="460" t="s">
        <v>876</v>
      </c>
      <c r="K7" s="460" t="s">
        <v>877</v>
      </c>
    </row>
    <row r="8" spans="1:13" ht="42" customHeight="1" x14ac:dyDescent="0.25">
      <c r="A8" s="781" t="s">
        <v>878</v>
      </c>
      <c r="B8" s="781"/>
      <c r="C8" s="758" t="s">
        <v>880</v>
      </c>
      <c r="D8" s="759"/>
      <c r="E8" s="759"/>
      <c r="F8" s="759"/>
      <c r="G8" s="760"/>
      <c r="H8" s="795"/>
      <c r="I8" s="461">
        <v>20</v>
      </c>
      <c r="J8" s="462">
        <v>7</v>
      </c>
      <c r="K8" s="462">
        <v>7</v>
      </c>
    </row>
    <row r="9" spans="1:13" ht="30" customHeight="1" x14ac:dyDescent="0.25">
      <c r="A9" s="781" t="s">
        <v>879</v>
      </c>
      <c r="B9" s="781"/>
      <c r="C9" s="761" t="s">
        <v>880</v>
      </c>
      <c r="D9" s="762"/>
      <c r="E9" s="762"/>
      <c r="F9" s="762"/>
      <c r="G9" s="762"/>
      <c r="H9" s="762"/>
      <c r="I9" s="762"/>
      <c r="J9" s="762"/>
      <c r="K9" s="763"/>
    </row>
    <row r="10" spans="1:13" ht="3" customHeight="1" x14ac:dyDescent="0.25">
      <c r="A10" s="758"/>
      <c r="B10" s="759"/>
      <c r="C10" s="759"/>
      <c r="D10" s="759"/>
      <c r="E10" s="759"/>
      <c r="F10" s="759"/>
      <c r="G10" s="759"/>
      <c r="H10" s="759"/>
      <c r="I10" s="759"/>
      <c r="J10" s="759"/>
      <c r="K10" s="760"/>
    </row>
    <row r="11" spans="1:13" ht="14.4" customHeight="1" x14ac:dyDescent="0.25">
      <c r="A11" s="464" t="s">
        <v>881</v>
      </c>
      <c r="B11" s="782" t="s">
        <v>882</v>
      </c>
      <c r="C11" s="783"/>
      <c r="D11" s="784"/>
      <c r="E11" s="464" t="s">
        <v>883</v>
      </c>
      <c r="F11" s="465" t="s">
        <v>17</v>
      </c>
      <c r="G11" s="466" t="s">
        <v>884</v>
      </c>
      <c r="H11" s="785" t="s">
        <v>885</v>
      </c>
      <c r="I11" s="786"/>
      <c r="J11" s="786"/>
      <c r="K11" s="787"/>
    </row>
    <row r="12" spans="1:13" x14ac:dyDescent="0.25">
      <c r="A12" s="788" t="s">
        <v>185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90"/>
    </row>
    <row r="13" spans="1:13" ht="15.6" x14ac:dyDescent="0.25">
      <c r="A13" s="43">
        <v>1.1000000000000001</v>
      </c>
      <c r="B13" s="802" t="s">
        <v>186</v>
      </c>
      <c r="C13" s="803"/>
      <c r="D13" s="804"/>
      <c r="E13" s="805"/>
      <c r="F13" s="806"/>
      <c r="G13" s="806"/>
      <c r="H13" s="806"/>
      <c r="I13" s="806"/>
      <c r="J13" s="806"/>
      <c r="K13" s="807"/>
    </row>
    <row r="14" spans="1:13" ht="27.75" customHeight="1" x14ac:dyDescent="0.25">
      <c r="A14" s="37" t="s">
        <v>328</v>
      </c>
      <c r="B14" s="796" t="s">
        <v>305</v>
      </c>
      <c r="C14" s="797"/>
      <c r="D14" s="798"/>
      <c r="E14" s="467" t="s">
        <v>5</v>
      </c>
      <c r="F14" s="468">
        <v>338.3</v>
      </c>
      <c r="G14" s="469"/>
      <c r="H14" s="799"/>
      <c r="I14" s="800"/>
      <c r="J14" s="800"/>
      <c r="K14" s="801"/>
      <c r="M14" s="477"/>
    </row>
    <row r="15" spans="1:13" ht="30" customHeight="1" x14ac:dyDescent="0.25">
      <c r="A15" s="37" t="s">
        <v>329</v>
      </c>
      <c r="B15" s="796" t="s">
        <v>306</v>
      </c>
      <c r="C15" s="797"/>
      <c r="D15" s="798"/>
      <c r="E15" s="467" t="s">
        <v>886</v>
      </c>
      <c r="F15" s="468">
        <v>521.5</v>
      </c>
      <c r="G15" s="469"/>
      <c r="H15" s="799"/>
      <c r="I15" s="800"/>
      <c r="J15" s="800"/>
      <c r="K15" s="801"/>
      <c r="M15" s="477"/>
    </row>
    <row r="16" spans="1:13" ht="27" customHeight="1" x14ac:dyDescent="0.25">
      <c r="A16" s="37" t="s">
        <v>330</v>
      </c>
      <c r="B16" s="796" t="s">
        <v>307</v>
      </c>
      <c r="C16" s="797"/>
      <c r="D16" s="798"/>
      <c r="E16" s="467" t="s">
        <v>5</v>
      </c>
      <c r="F16" s="468">
        <v>387</v>
      </c>
      <c r="G16" s="469"/>
      <c r="H16" s="799"/>
      <c r="I16" s="800"/>
      <c r="J16" s="800"/>
      <c r="K16" s="801"/>
      <c r="M16" s="477"/>
    </row>
    <row r="17" spans="1:13" ht="41.25" customHeight="1" x14ac:dyDescent="0.25">
      <c r="A17" s="37" t="s">
        <v>331</v>
      </c>
      <c r="B17" s="796" t="s">
        <v>887</v>
      </c>
      <c r="C17" s="797"/>
      <c r="D17" s="798"/>
      <c r="E17" s="467" t="s">
        <v>886</v>
      </c>
      <c r="F17" s="468">
        <v>1130</v>
      </c>
      <c r="G17" s="469"/>
      <c r="H17" s="799"/>
      <c r="I17" s="800"/>
      <c r="J17" s="800"/>
      <c r="K17" s="801"/>
      <c r="M17" s="477"/>
    </row>
    <row r="18" spans="1:13" ht="46.5" customHeight="1" x14ac:dyDescent="0.25">
      <c r="A18" s="37" t="s">
        <v>332</v>
      </c>
      <c r="B18" s="796" t="s">
        <v>424</v>
      </c>
      <c r="C18" s="797"/>
      <c r="D18" s="798"/>
      <c r="E18" s="467" t="s">
        <v>5</v>
      </c>
      <c r="F18" s="468">
        <v>74</v>
      </c>
      <c r="G18" s="469"/>
      <c r="H18" s="799"/>
      <c r="I18" s="800"/>
      <c r="J18" s="800"/>
      <c r="K18" s="801"/>
      <c r="M18" s="477"/>
    </row>
    <row r="19" spans="1:13" ht="75.75" customHeight="1" x14ac:dyDescent="0.25">
      <c r="A19" s="37" t="s">
        <v>333</v>
      </c>
      <c r="B19" s="796" t="s">
        <v>425</v>
      </c>
      <c r="C19" s="797"/>
      <c r="D19" s="798"/>
      <c r="E19" s="467" t="s">
        <v>5</v>
      </c>
      <c r="F19" s="468">
        <v>626</v>
      </c>
      <c r="G19" s="469"/>
      <c r="H19" s="799"/>
      <c r="I19" s="800"/>
      <c r="J19" s="800"/>
      <c r="K19" s="801"/>
      <c r="M19" s="477"/>
    </row>
    <row r="20" spans="1:13" ht="44.25" customHeight="1" x14ac:dyDescent="0.25">
      <c r="A20" s="37" t="s">
        <v>334</v>
      </c>
      <c r="B20" s="796" t="s">
        <v>426</v>
      </c>
      <c r="C20" s="797"/>
      <c r="D20" s="798"/>
      <c r="E20" s="467" t="s">
        <v>886</v>
      </c>
      <c r="F20" s="468">
        <v>1340</v>
      </c>
      <c r="G20" s="469"/>
      <c r="H20" s="799"/>
      <c r="I20" s="800"/>
      <c r="J20" s="800"/>
      <c r="K20" s="801"/>
      <c r="M20" s="477"/>
    </row>
    <row r="21" spans="1:13" ht="19.5" customHeight="1" x14ac:dyDescent="0.25">
      <c r="A21" s="37" t="s">
        <v>335</v>
      </c>
      <c r="B21" s="796" t="s">
        <v>427</v>
      </c>
      <c r="C21" s="797"/>
      <c r="D21" s="798"/>
      <c r="E21" s="467" t="s">
        <v>888</v>
      </c>
      <c r="F21" s="468">
        <v>7.13</v>
      </c>
      <c r="G21" s="469"/>
      <c r="H21" s="799"/>
      <c r="I21" s="800"/>
      <c r="J21" s="800"/>
      <c r="K21" s="801"/>
      <c r="M21" s="477"/>
    </row>
    <row r="22" spans="1:13" ht="54" customHeight="1" x14ac:dyDescent="0.25">
      <c r="A22" s="37" t="s">
        <v>336</v>
      </c>
      <c r="B22" s="808" t="s">
        <v>889</v>
      </c>
      <c r="C22" s="808"/>
      <c r="D22" s="808"/>
      <c r="E22" s="470" t="s">
        <v>102</v>
      </c>
      <c r="F22" s="468">
        <v>1</v>
      </c>
      <c r="G22" s="469"/>
      <c r="H22" s="799"/>
      <c r="I22" s="800"/>
      <c r="J22" s="800"/>
      <c r="K22" s="801"/>
      <c r="M22" s="477"/>
    </row>
    <row r="23" spans="1:13" ht="15.6" x14ac:dyDescent="0.25">
      <c r="A23" s="43">
        <v>1.2</v>
      </c>
      <c r="B23" s="802" t="s">
        <v>6</v>
      </c>
      <c r="C23" s="803"/>
      <c r="D23" s="804"/>
      <c r="E23" s="805"/>
      <c r="F23" s="806"/>
      <c r="G23" s="806"/>
      <c r="H23" s="806"/>
      <c r="I23" s="806"/>
      <c r="J23" s="806"/>
      <c r="K23" s="807"/>
      <c r="M23" s="477"/>
    </row>
    <row r="24" spans="1:13" ht="25.5" customHeight="1" x14ac:dyDescent="0.25">
      <c r="A24" s="43" t="s">
        <v>337</v>
      </c>
      <c r="B24" s="809" t="s">
        <v>451</v>
      </c>
      <c r="C24" s="810"/>
      <c r="D24" s="811"/>
      <c r="E24" s="805"/>
      <c r="F24" s="806"/>
      <c r="G24" s="806"/>
      <c r="H24" s="806"/>
      <c r="I24" s="806"/>
      <c r="J24" s="806"/>
      <c r="K24" s="807"/>
      <c r="M24" s="477"/>
    </row>
    <row r="25" spans="1:13" ht="40.5" customHeight="1" x14ac:dyDescent="0.25">
      <c r="A25" s="471" t="s">
        <v>444</v>
      </c>
      <c r="B25" s="796" t="s">
        <v>455</v>
      </c>
      <c r="C25" s="797"/>
      <c r="D25" s="798"/>
      <c r="E25" s="470" t="s">
        <v>7</v>
      </c>
      <c r="F25" s="470">
        <v>500</v>
      </c>
      <c r="G25" s="469"/>
      <c r="H25" s="799"/>
      <c r="I25" s="800"/>
      <c r="J25" s="800"/>
      <c r="K25" s="801"/>
      <c r="M25" s="477"/>
    </row>
    <row r="26" spans="1:13" ht="15.6" x14ac:dyDescent="0.25">
      <c r="A26" s="471" t="s">
        <v>446</v>
      </c>
      <c r="B26" s="796" t="s">
        <v>456</v>
      </c>
      <c r="C26" s="797"/>
      <c r="D26" s="798"/>
      <c r="E26" s="470" t="s">
        <v>7</v>
      </c>
      <c r="F26" s="470">
        <v>20</v>
      </c>
      <c r="G26" s="469"/>
      <c r="H26" s="799"/>
      <c r="I26" s="800"/>
      <c r="J26" s="800"/>
      <c r="K26" s="801"/>
      <c r="M26" s="477"/>
    </row>
    <row r="27" spans="1:13" ht="15.6" x14ac:dyDescent="0.25">
      <c r="A27" s="471" t="s">
        <v>460</v>
      </c>
      <c r="B27" s="796" t="s">
        <v>457</v>
      </c>
      <c r="C27" s="797"/>
      <c r="D27" s="798"/>
      <c r="E27" s="470" t="s">
        <v>7</v>
      </c>
      <c r="F27" s="470">
        <v>8</v>
      </c>
      <c r="G27" s="469"/>
      <c r="H27" s="799"/>
      <c r="I27" s="800"/>
      <c r="J27" s="800"/>
      <c r="K27" s="801"/>
      <c r="M27" s="477"/>
    </row>
    <row r="28" spans="1:13" ht="15.6" x14ac:dyDescent="0.25">
      <c r="A28" s="471" t="s">
        <v>461</v>
      </c>
      <c r="B28" s="796" t="s">
        <v>458</v>
      </c>
      <c r="C28" s="797"/>
      <c r="D28" s="798"/>
      <c r="E28" s="470" t="s">
        <v>7</v>
      </c>
      <c r="F28" s="470">
        <v>25</v>
      </c>
      <c r="G28" s="469"/>
      <c r="H28" s="799"/>
      <c r="I28" s="800"/>
      <c r="J28" s="800"/>
      <c r="K28" s="801"/>
      <c r="M28" s="477"/>
    </row>
    <row r="29" spans="1:13" ht="15.6" x14ac:dyDescent="0.25">
      <c r="A29" s="471" t="s">
        <v>462</v>
      </c>
      <c r="B29" s="796" t="s">
        <v>459</v>
      </c>
      <c r="C29" s="797"/>
      <c r="D29" s="798"/>
      <c r="E29" s="470" t="s">
        <v>7</v>
      </c>
      <c r="F29" s="470">
        <v>12</v>
      </c>
      <c r="G29" s="469"/>
      <c r="H29" s="799"/>
      <c r="I29" s="800"/>
      <c r="J29" s="800"/>
      <c r="K29" s="801"/>
      <c r="M29" s="477"/>
    </row>
    <row r="30" spans="1:13" ht="22.5" customHeight="1" x14ac:dyDescent="0.25">
      <c r="A30" s="472" t="s">
        <v>338</v>
      </c>
      <c r="B30" s="809" t="s">
        <v>447</v>
      </c>
      <c r="C30" s="810"/>
      <c r="D30" s="811"/>
      <c r="E30" s="805"/>
      <c r="F30" s="806"/>
      <c r="G30" s="806"/>
      <c r="H30" s="806"/>
      <c r="I30" s="806"/>
      <c r="J30" s="806"/>
      <c r="K30" s="807"/>
      <c r="M30" s="477"/>
    </row>
    <row r="31" spans="1:13" ht="30.75" customHeight="1" x14ac:dyDescent="0.25">
      <c r="A31" s="473" t="s">
        <v>445</v>
      </c>
      <c r="B31" s="796" t="s">
        <v>448</v>
      </c>
      <c r="C31" s="797"/>
      <c r="D31" s="798"/>
      <c r="E31" s="467" t="s">
        <v>888</v>
      </c>
      <c r="F31" s="468">
        <v>1063.413594102765</v>
      </c>
      <c r="G31" s="469"/>
      <c r="H31" s="799"/>
      <c r="I31" s="800"/>
      <c r="J31" s="800"/>
      <c r="K31" s="801"/>
      <c r="M31" s="477"/>
    </row>
    <row r="32" spans="1:13" ht="30" customHeight="1" x14ac:dyDescent="0.25">
      <c r="A32" s="473" t="s">
        <v>890</v>
      </c>
      <c r="B32" s="796" t="s">
        <v>891</v>
      </c>
      <c r="C32" s="797"/>
      <c r="D32" s="798"/>
      <c r="E32" s="467" t="s">
        <v>888</v>
      </c>
      <c r="F32" s="468">
        <v>193.29705771447524</v>
      </c>
      <c r="G32" s="469"/>
      <c r="H32" s="799"/>
      <c r="I32" s="800"/>
      <c r="J32" s="800"/>
      <c r="K32" s="801"/>
      <c r="M32" s="477"/>
    </row>
    <row r="33" spans="1:13" ht="25.5" customHeight="1" x14ac:dyDescent="0.25">
      <c r="A33" s="472" t="s">
        <v>339</v>
      </c>
      <c r="B33" s="809" t="s">
        <v>447</v>
      </c>
      <c r="C33" s="810"/>
      <c r="D33" s="811"/>
      <c r="E33" s="805"/>
      <c r="F33" s="806"/>
      <c r="G33" s="806"/>
      <c r="H33" s="806"/>
      <c r="I33" s="806"/>
      <c r="J33" s="806"/>
      <c r="K33" s="807"/>
      <c r="M33" s="477"/>
    </row>
    <row r="34" spans="1:13" ht="30" customHeight="1" x14ac:dyDescent="0.25">
      <c r="A34" s="473" t="s">
        <v>452</v>
      </c>
      <c r="B34" s="796" t="s">
        <v>450</v>
      </c>
      <c r="C34" s="797"/>
      <c r="D34" s="798"/>
      <c r="E34" s="467" t="s">
        <v>888</v>
      </c>
      <c r="F34" s="468">
        <v>27.287499477922392</v>
      </c>
      <c r="G34" s="469"/>
      <c r="H34" s="799"/>
      <c r="I34" s="800"/>
      <c r="J34" s="800"/>
      <c r="K34" s="801"/>
      <c r="M34" s="477"/>
    </row>
    <row r="35" spans="1:13" ht="30" customHeight="1" x14ac:dyDescent="0.25">
      <c r="A35" s="473" t="s">
        <v>659</v>
      </c>
      <c r="B35" s="796" t="s">
        <v>660</v>
      </c>
      <c r="C35" s="797"/>
      <c r="D35" s="798"/>
      <c r="E35" s="467" t="s">
        <v>888</v>
      </c>
      <c r="F35" s="468">
        <v>3.9571751636678663</v>
      </c>
      <c r="G35" s="469"/>
      <c r="H35" s="799"/>
      <c r="I35" s="800"/>
      <c r="J35" s="800"/>
      <c r="K35" s="801"/>
      <c r="M35" s="477"/>
    </row>
    <row r="36" spans="1:13" ht="30" customHeight="1" x14ac:dyDescent="0.25">
      <c r="A36" s="472" t="s">
        <v>340</v>
      </c>
      <c r="B36" s="809" t="s">
        <v>465</v>
      </c>
      <c r="C36" s="810"/>
      <c r="D36" s="811"/>
      <c r="E36" s="805"/>
      <c r="F36" s="806"/>
      <c r="G36" s="806"/>
      <c r="H36" s="806"/>
      <c r="I36" s="806"/>
      <c r="J36" s="806"/>
      <c r="K36" s="807"/>
      <c r="M36" s="477"/>
    </row>
    <row r="37" spans="1:13" ht="30" customHeight="1" x14ac:dyDescent="0.25">
      <c r="A37" s="473" t="s">
        <v>463</v>
      </c>
      <c r="B37" s="796" t="s">
        <v>464</v>
      </c>
      <c r="C37" s="797"/>
      <c r="D37" s="798"/>
      <c r="E37" s="467" t="s">
        <v>888</v>
      </c>
      <c r="F37" s="468">
        <v>11</v>
      </c>
      <c r="G37" s="469"/>
      <c r="H37" s="799"/>
      <c r="I37" s="800"/>
      <c r="J37" s="800"/>
      <c r="K37" s="801"/>
      <c r="M37" s="477"/>
    </row>
    <row r="38" spans="1:13" ht="30.75" customHeight="1" x14ac:dyDescent="0.25">
      <c r="A38" s="472" t="s">
        <v>341</v>
      </c>
      <c r="B38" s="809" t="s">
        <v>471</v>
      </c>
      <c r="C38" s="810"/>
      <c r="D38" s="811"/>
      <c r="E38" s="805"/>
      <c r="F38" s="806"/>
      <c r="G38" s="806"/>
      <c r="H38" s="806"/>
      <c r="I38" s="806"/>
      <c r="J38" s="806"/>
      <c r="K38" s="807"/>
      <c r="M38" s="477"/>
    </row>
    <row r="39" spans="1:13" ht="30" customHeight="1" x14ac:dyDescent="0.25">
      <c r="A39" s="473" t="s">
        <v>467</v>
      </c>
      <c r="B39" s="796" t="s">
        <v>466</v>
      </c>
      <c r="C39" s="797"/>
      <c r="D39" s="798"/>
      <c r="E39" s="467" t="s">
        <v>888</v>
      </c>
      <c r="F39" s="468">
        <v>11.25</v>
      </c>
      <c r="G39" s="469"/>
      <c r="H39" s="799"/>
      <c r="I39" s="800"/>
      <c r="J39" s="800"/>
      <c r="K39" s="801"/>
      <c r="M39" s="477"/>
    </row>
    <row r="40" spans="1:13" ht="30" customHeight="1" x14ac:dyDescent="0.25">
      <c r="A40" s="107" t="s">
        <v>431</v>
      </c>
      <c r="B40" s="809" t="s">
        <v>469</v>
      </c>
      <c r="C40" s="810"/>
      <c r="D40" s="811"/>
      <c r="E40" s="805"/>
      <c r="F40" s="806"/>
      <c r="G40" s="806"/>
      <c r="H40" s="806"/>
      <c r="I40" s="806"/>
      <c r="J40" s="806"/>
      <c r="K40" s="807"/>
      <c r="M40" s="477"/>
    </row>
    <row r="41" spans="1:13" ht="30" customHeight="1" x14ac:dyDescent="0.25">
      <c r="A41" s="473" t="s">
        <v>468</v>
      </c>
      <c r="B41" s="796" t="s">
        <v>666</v>
      </c>
      <c r="C41" s="797"/>
      <c r="D41" s="798"/>
      <c r="E41" s="467" t="s">
        <v>888</v>
      </c>
      <c r="F41" s="468">
        <v>200</v>
      </c>
      <c r="G41" s="469"/>
      <c r="H41" s="799"/>
      <c r="I41" s="800"/>
      <c r="J41" s="800"/>
      <c r="K41" s="801"/>
      <c r="M41" s="477"/>
    </row>
    <row r="42" spans="1:13" ht="54.75" customHeight="1" x14ac:dyDescent="0.25">
      <c r="A42" s="473" t="s">
        <v>808</v>
      </c>
      <c r="B42" s="796" t="s">
        <v>383</v>
      </c>
      <c r="C42" s="797"/>
      <c r="D42" s="798"/>
      <c r="E42" s="467" t="s">
        <v>888</v>
      </c>
      <c r="F42" s="468">
        <v>470</v>
      </c>
      <c r="G42" s="469"/>
      <c r="H42" s="799"/>
      <c r="I42" s="800"/>
      <c r="J42" s="800"/>
      <c r="K42" s="801"/>
      <c r="M42" s="477"/>
    </row>
    <row r="43" spans="1:13" ht="30" customHeight="1" x14ac:dyDescent="0.25">
      <c r="A43" s="473" t="s">
        <v>809</v>
      </c>
      <c r="B43" s="796" t="s">
        <v>892</v>
      </c>
      <c r="C43" s="797"/>
      <c r="D43" s="798"/>
      <c r="E43" s="467" t="s">
        <v>888</v>
      </c>
      <c r="F43" s="468">
        <v>575</v>
      </c>
      <c r="G43" s="469"/>
      <c r="H43" s="799"/>
      <c r="I43" s="800"/>
      <c r="J43" s="800"/>
      <c r="K43" s="801"/>
      <c r="M43" s="477"/>
    </row>
    <row r="44" spans="1:13" ht="68.25" customHeight="1" x14ac:dyDescent="0.25">
      <c r="A44" s="473" t="s">
        <v>810</v>
      </c>
      <c r="B44" s="796" t="s">
        <v>384</v>
      </c>
      <c r="C44" s="797"/>
      <c r="D44" s="798"/>
      <c r="E44" s="467" t="s">
        <v>888</v>
      </c>
      <c r="F44" s="468">
        <v>713</v>
      </c>
      <c r="G44" s="469"/>
      <c r="H44" s="799"/>
      <c r="I44" s="800"/>
      <c r="J44" s="800"/>
      <c r="K44" s="801"/>
      <c r="M44" s="477"/>
    </row>
    <row r="45" spans="1:13" s="474" customFormat="1" ht="33" customHeight="1" x14ac:dyDescent="0.25">
      <c r="A45" s="43">
        <v>1.3</v>
      </c>
      <c r="B45" s="809" t="s">
        <v>187</v>
      </c>
      <c r="C45" s="810"/>
      <c r="D45" s="811"/>
      <c r="E45" s="812"/>
      <c r="F45" s="813"/>
      <c r="G45" s="813"/>
      <c r="H45" s="813"/>
      <c r="I45" s="813"/>
      <c r="J45" s="813"/>
      <c r="K45" s="814"/>
      <c r="L45" s="463"/>
      <c r="M45" s="477"/>
    </row>
    <row r="46" spans="1:13" ht="30" customHeight="1" x14ac:dyDescent="0.25">
      <c r="A46" s="473" t="s">
        <v>342</v>
      </c>
      <c r="B46" s="796" t="s">
        <v>128</v>
      </c>
      <c r="C46" s="797"/>
      <c r="D46" s="798"/>
      <c r="E46" s="467" t="s">
        <v>5</v>
      </c>
      <c r="F46" s="468">
        <v>323</v>
      </c>
      <c r="G46" s="469"/>
      <c r="H46" s="799"/>
      <c r="I46" s="800"/>
      <c r="J46" s="800"/>
      <c r="K46" s="801"/>
      <c r="M46" s="477"/>
    </row>
    <row r="47" spans="1:13" ht="30" customHeight="1" x14ac:dyDescent="0.25">
      <c r="A47" s="473" t="s">
        <v>343</v>
      </c>
      <c r="B47" s="796" t="s">
        <v>132</v>
      </c>
      <c r="C47" s="797"/>
      <c r="D47" s="798"/>
      <c r="E47" s="467" t="s">
        <v>5</v>
      </c>
      <c r="F47" s="468">
        <v>23.5</v>
      </c>
      <c r="G47" s="469"/>
      <c r="H47" s="799"/>
      <c r="I47" s="800"/>
      <c r="J47" s="800"/>
      <c r="K47" s="801"/>
      <c r="M47" s="477"/>
    </row>
    <row r="48" spans="1:13" x14ac:dyDescent="0.25">
      <c r="A48" s="473" t="s">
        <v>344</v>
      </c>
      <c r="B48" s="796" t="s">
        <v>893</v>
      </c>
      <c r="C48" s="797"/>
      <c r="D48" s="798"/>
      <c r="E48" s="467" t="s">
        <v>5</v>
      </c>
      <c r="F48" s="468">
        <v>2.5</v>
      </c>
      <c r="G48" s="469"/>
      <c r="H48" s="799"/>
      <c r="I48" s="800"/>
      <c r="J48" s="800"/>
      <c r="K48" s="801"/>
      <c r="M48" s="477"/>
    </row>
    <row r="49" spans="1:13" ht="15" customHeight="1" x14ac:dyDescent="0.25">
      <c r="A49" s="473" t="s">
        <v>345</v>
      </c>
      <c r="B49" s="796" t="s">
        <v>138</v>
      </c>
      <c r="C49" s="797"/>
      <c r="D49" s="798"/>
      <c r="E49" s="467" t="s">
        <v>113</v>
      </c>
      <c r="F49" s="468">
        <v>2</v>
      </c>
      <c r="G49" s="469"/>
      <c r="H49" s="799"/>
      <c r="I49" s="800"/>
      <c r="J49" s="800"/>
      <c r="K49" s="801"/>
      <c r="M49" s="477"/>
    </row>
    <row r="50" spans="1:13" ht="30" customHeight="1" x14ac:dyDescent="0.25">
      <c r="A50" s="473" t="s">
        <v>346</v>
      </c>
      <c r="B50" s="796" t="s">
        <v>143</v>
      </c>
      <c r="C50" s="797"/>
      <c r="D50" s="798"/>
      <c r="E50" s="467" t="s">
        <v>113</v>
      </c>
      <c r="F50" s="468">
        <v>4</v>
      </c>
      <c r="G50" s="469"/>
      <c r="H50" s="799"/>
      <c r="I50" s="800"/>
      <c r="J50" s="800"/>
      <c r="K50" s="801"/>
      <c r="M50" s="477"/>
    </row>
    <row r="51" spans="1:13" x14ac:dyDescent="0.25">
      <c r="A51" s="475">
        <v>1.4</v>
      </c>
      <c r="B51" s="809" t="s">
        <v>8</v>
      </c>
      <c r="C51" s="810"/>
      <c r="D51" s="811"/>
      <c r="E51" s="812"/>
      <c r="F51" s="813"/>
      <c r="G51" s="813"/>
      <c r="H51" s="813"/>
      <c r="I51" s="813"/>
      <c r="J51" s="813"/>
      <c r="K51" s="814"/>
      <c r="M51" s="477"/>
    </row>
    <row r="52" spans="1:13" ht="50.25" customHeight="1" x14ac:dyDescent="0.25">
      <c r="A52" s="473" t="s">
        <v>347</v>
      </c>
      <c r="B52" s="796" t="s">
        <v>385</v>
      </c>
      <c r="C52" s="797"/>
      <c r="D52" s="798"/>
      <c r="E52" s="467" t="s">
        <v>7</v>
      </c>
      <c r="F52" s="468">
        <v>80</v>
      </c>
      <c r="G52" s="469"/>
      <c r="H52" s="799"/>
      <c r="I52" s="800"/>
      <c r="J52" s="800"/>
      <c r="K52" s="801"/>
      <c r="M52" s="477"/>
    </row>
    <row r="53" spans="1:13" ht="48" customHeight="1" x14ac:dyDescent="0.25">
      <c r="A53" s="473" t="s">
        <v>348</v>
      </c>
      <c r="B53" s="796" t="s">
        <v>386</v>
      </c>
      <c r="C53" s="797"/>
      <c r="D53" s="798"/>
      <c r="E53" s="467" t="s">
        <v>113</v>
      </c>
      <c r="F53" s="468">
        <v>7</v>
      </c>
      <c r="G53" s="469"/>
      <c r="H53" s="799"/>
      <c r="I53" s="800"/>
      <c r="J53" s="800"/>
      <c r="K53" s="801"/>
      <c r="M53" s="477"/>
    </row>
    <row r="54" spans="1:13" ht="37.5" customHeight="1" x14ac:dyDescent="0.25">
      <c r="A54" s="473" t="s">
        <v>349</v>
      </c>
      <c r="B54" s="796" t="s">
        <v>241</v>
      </c>
      <c r="C54" s="797"/>
      <c r="D54" s="798"/>
      <c r="E54" s="467" t="s">
        <v>5</v>
      </c>
      <c r="F54" s="468">
        <v>14.438615299786534</v>
      </c>
      <c r="G54" s="469"/>
      <c r="H54" s="799"/>
      <c r="I54" s="800"/>
      <c r="J54" s="800"/>
      <c r="K54" s="801"/>
      <c r="M54" s="477"/>
    </row>
    <row r="55" spans="1:13" ht="56.25" customHeight="1" x14ac:dyDescent="0.25">
      <c r="A55" s="473" t="s">
        <v>350</v>
      </c>
      <c r="B55" s="796" t="s">
        <v>387</v>
      </c>
      <c r="C55" s="797"/>
      <c r="D55" s="798"/>
      <c r="E55" s="467" t="s">
        <v>113</v>
      </c>
      <c r="F55" s="468">
        <v>7</v>
      </c>
      <c r="G55" s="469"/>
      <c r="H55" s="799"/>
      <c r="I55" s="800"/>
      <c r="J55" s="800"/>
      <c r="K55" s="801"/>
      <c r="M55" s="477"/>
    </row>
    <row r="56" spans="1:13" ht="63" customHeight="1" x14ac:dyDescent="0.25">
      <c r="A56" s="473" t="s">
        <v>351</v>
      </c>
      <c r="B56" s="796" t="s">
        <v>388</v>
      </c>
      <c r="C56" s="797"/>
      <c r="D56" s="798"/>
      <c r="E56" s="467" t="s">
        <v>113</v>
      </c>
      <c r="F56" s="468">
        <v>2</v>
      </c>
      <c r="G56" s="469"/>
      <c r="H56" s="799"/>
      <c r="I56" s="800"/>
      <c r="J56" s="800"/>
      <c r="K56" s="801"/>
      <c r="M56" s="477"/>
    </row>
    <row r="57" spans="1:13" ht="69" customHeight="1" x14ac:dyDescent="0.25">
      <c r="A57" s="473" t="s">
        <v>352</v>
      </c>
      <c r="B57" s="796" t="s">
        <v>389</v>
      </c>
      <c r="C57" s="797"/>
      <c r="D57" s="798"/>
      <c r="E57" s="467" t="s">
        <v>4</v>
      </c>
      <c r="F57" s="468">
        <v>15.2</v>
      </c>
      <c r="G57" s="469"/>
      <c r="H57" s="799"/>
      <c r="I57" s="800"/>
      <c r="J57" s="800"/>
      <c r="K57" s="801"/>
      <c r="M57" s="477"/>
    </row>
    <row r="58" spans="1:13" ht="54.75" customHeight="1" x14ac:dyDescent="0.25">
      <c r="A58" s="473" t="s">
        <v>353</v>
      </c>
      <c r="B58" s="796" t="s">
        <v>390</v>
      </c>
      <c r="C58" s="797"/>
      <c r="D58" s="798"/>
      <c r="E58" s="467" t="s">
        <v>7</v>
      </c>
      <c r="F58" s="468">
        <v>7.3382500000000004</v>
      </c>
      <c r="G58" s="469"/>
      <c r="H58" s="799"/>
      <c r="I58" s="800"/>
      <c r="J58" s="800"/>
      <c r="K58" s="801"/>
      <c r="M58" s="477"/>
    </row>
    <row r="59" spans="1:13" ht="69" customHeight="1" x14ac:dyDescent="0.25">
      <c r="A59" s="473" t="s">
        <v>354</v>
      </c>
      <c r="B59" s="796" t="s">
        <v>391</v>
      </c>
      <c r="C59" s="797"/>
      <c r="D59" s="798"/>
      <c r="E59" s="467" t="s">
        <v>7</v>
      </c>
      <c r="F59" s="468">
        <v>1.7486283305884593</v>
      </c>
      <c r="G59" s="469"/>
      <c r="H59" s="799"/>
      <c r="I59" s="800"/>
      <c r="J59" s="800"/>
      <c r="K59" s="801"/>
      <c r="M59" s="477"/>
    </row>
    <row r="60" spans="1:13" x14ac:dyDescent="0.25">
      <c r="A60" s="475">
        <v>1.5</v>
      </c>
      <c r="B60" s="809" t="s">
        <v>109</v>
      </c>
      <c r="C60" s="810"/>
      <c r="D60" s="811"/>
      <c r="E60" s="812"/>
      <c r="F60" s="813"/>
      <c r="G60" s="813"/>
      <c r="H60" s="813"/>
      <c r="I60" s="813"/>
      <c r="J60" s="813"/>
      <c r="K60" s="814"/>
      <c r="M60" s="477"/>
    </row>
    <row r="61" spans="1:13" ht="45" customHeight="1" x14ac:dyDescent="0.25">
      <c r="A61" s="48" t="s">
        <v>355</v>
      </c>
      <c r="B61" s="808" t="s">
        <v>694</v>
      </c>
      <c r="C61" s="808"/>
      <c r="D61" s="808"/>
      <c r="E61" s="470" t="s">
        <v>90</v>
      </c>
      <c r="F61" s="468">
        <v>5392</v>
      </c>
      <c r="G61" s="469"/>
      <c r="H61" s="799"/>
      <c r="I61" s="800"/>
      <c r="J61" s="800"/>
      <c r="K61" s="801"/>
      <c r="M61" s="477"/>
    </row>
    <row r="62" spans="1:13" ht="45" customHeight="1" x14ac:dyDescent="0.25">
      <c r="A62" s="48" t="s">
        <v>477</v>
      </c>
      <c r="B62" s="808" t="s">
        <v>695</v>
      </c>
      <c r="C62" s="808"/>
      <c r="D62" s="808"/>
      <c r="E62" s="470" t="s">
        <v>90</v>
      </c>
      <c r="F62" s="468">
        <v>1010.7030709850574</v>
      </c>
      <c r="G62" s="469"/>
      <c r="H62" s="799"/>
      <c r="I62" s="800"/>
      <c r="J62" s="800"/>
      <c r="K62" s="801"/>
      <c r="M62" s="477"/>
    </row>
    <row r="63" spans="1:13" x14ac:dyDescent="0.25">
      <c r="A63" s="475">
        <v>1.6</v>
      </c>
      <c r="B63" s="809" t="s">
        <v>9</v>
      </c>
      <c r="C63" s="810"/>
      <c r="D63" s="811"/>
      <c r="E63" s="812"/>
      <c r="F63" s="813"/>
      <c r="G63" s="813"/>
      <c r="H63" s="813"/>
      <c r="I63" s="813"/>
      <c r="J63" s="813"/>
      <c r="K63" s="814"/>
      <c r="M63" s="477"/>
    </row>
    <row r="64" spans="1:13" ht="60" customHeight="1" x14ac:dyDescent="0.25">
      <c r="A64" s="473" t="s">
        <v>356</v>
      </c>
      <c r="B64" s="796" t="s">
        <v>158</v>
      </c>
      <c r="C64" s="797"/>
      <c r="D64" s="798"/>
      <c r="E64" s="467" t="s">
        <v>5</v>
      </c>
      <c r="F64" s="468">
        <v>273</v>
      </c>
      <c r="G64" s="469"/>
      <c r="H64" s="799"/>
      <c r="I64" s="800"/>
      <c r="J64" s="800"/>
      <c r="K64" s="801"/>
      <c r="M64" s="477"/>
    </row>
    <row r="65" spans="1:13" ht="45" customHeight="1" x14ac:dyDescent="0.25">
      <c r="A65" s="473" t="s">
        <v>357</v>
      </c>
      <c r="B65" s="796" t="s">
        <v>166</v>
      </c>
      <c r="C65" s="797"/>
      <c r="D65" s="798"/>
      <c r="E65" s="467" t="s">
        <v>5</v>
      </c>
      <c r="F65" s="468">
        <v>120</v>
      </c>
      <c r="G65" s="469"/>
      <c r="H65" s="799"/>
      <c r="I65" s="800"/>
      <c r="J65" s="800"/>
      <c r="K65" s="801"/>
      <c r="M65" s="477"/>
    </row>
    <row r="66" spans="1:13" ht="55.5" customHeight="1" x14ac:dyDescent="0.25">
      <c r="A66" s="473" t="s">
        <v>358</v>
      </c>
      <c r="B66" s="796" t="s">
        <v>729</v>
      </c>
      <c r="C66" s="797"/>
      <c r="D66" s="798"/>
      <c r="E66" s="467" t="s">
        <v>113</v>
      </c>
      <c r="F66" s="468">
        <v>3</v>
      </c>
      <c r="G66" s="469"/>
      <c r="H66" s="799"/>
      <c r="I66" s="800"/>
      <c r="J66" s="800"/>
      <c r="K66" s="801"/>
      <c r="M66" s="477"/>
    </row>
    <row r="67" spans="1:13" ht="57.75" customHeight="1" x14ac:dyDescent="0.25">
      <c r="A67" s="473" t="s">
        <v>359</v>
      </c>
      <c r="B67" s="796" t="s">
        <v>733</v>
      </c>
      <c r="C67" s="797"/>
      <c r="D67" s="798"/>
      <c r="E67" s="467" t="s">
        <v>113</v>
      </c>
      <c r="F67" s="468">
        <v>4</v>
      </c>
      <c r="G67" s="469"/>
      <c r="H67" s="799"/>
      <c r="I67" s="800"/>
      <c r="J67" s="800"/>
      <c r="K67" s="801"/>
      <c r="M67" s="477"/>
    </row>
    <row r="68" spans="1:13" ht="57.75" customHeight="1" x14ac:dyDescent="0.25">
      <c r="A68" s="473" t="s">
        <v>360</v>
      </c>
      <c r="B68" s="796" t="s">
        <v>728</v>
      </c>
      <c r="C68" s="797"/>
      <c r="D68" s="798"/>
      <c r="E68" s="467" t="s">
        <v>113</v>
      </c>
      <c r="F68" s="468">
        <v>140</v>
      </c>
      <c r="G68" s="469"/>
      <c r="H68" s="799"/>
      <c r="I68" s="800"/>
      <c r="J68" s="800"/>
      <c r="K68" s="801"/>
      <c r="M68" s="477"/>
    </row>
    <row r="69" spans="1:13" ht="53.25" customHeight="1" x14ac:dyDescent="0.25">
      <c r="A69" s="473" t="s">
        <v>361</v>
      </c>
      <c r="B69" s="796" t="s">
        <v>738</v>
      </c>
      <c r="C69" s="797"/>
      <c r="D69" s="798"/>
      <c r="E69" s="467" t="s">
        <v>4</v>
      </c>
      <c r="F69" s="468">
        <v>3.5</v>
      </c>
      <c r="G69" s="469"/>
      <c r="H69" s="799"/>
      <c r="I69" s="800"/>
      <c r="J69" s="800"/>
      <c r="K69" s="801"/>
      <c r="M69" s="477"/>
    </row>
    <row r="70" spans="1:13" ht="30" customHeight="1" x14ac:dyDescent="0.25">
      <c r="A70" s="467" t="s">
        <v>362</v>
      </c>
      <c r="B70" s="796" t="s">
        <v>175</v>
      </c>
      <c r="C70" s="797"/>
      <c r="D70" s="798"/>
      <c r="E70" s="467" t="s">
        <v>7</v>
      </c>
      <c r="F70" s="468">
        <v>52</v>
      </c>
      <c r="G70" s="469"/>
      <c r="H70" s="799"/>
      <c r="I70" s="800"/>
      <c r="J70" s="800"/>
      <c r="K70" s="801"/>
      <c r="M70" s="477"/>
    </row>
    <row r="71" spans="1:13" ht="30" customHeight="1" x14ac:dyDescent="0.25">
      <c r="A71" s="473" t="s">
        <v>363</v>
      </c>
      <c r="B71" s="796" t="s">
        <v>264</v>
      </c>
      <c r="C71" s="797"/>
      <c r="D71" s="798"/>
      <c r="E71" s="467" t="s">
        <v>5</v>
      </c>
      <c r="F71" s="468">
        <v>56.500000000000007</v>
      </c>
      <c r="G71" s="469"/>
      <c r="H71" s="799"/>
      <c r="I71" s="800"/>
      <c r="J71" s="800"/>
      <c r="K71" s="801"/>
      <c r="M71" s="477"/>
    </row>
    <row r="72" spans="1:13" ht="73.5" customHeight="1" x14ac:dyDescent="0.25">
      <c r="A72" s="473" t="s">
        <v>364</v>
      </c>
      <c r="B72" s="796" t="s">
        <v>478</v>
      </c>
      <c r="C72" s="797"/>
      <c r="D72" s="798"/>
      <c r="E72" s="467" t="s">
        <v>180</v>
      </c>
      <c r="F72" s="468">
        <v>2</v>
      </c>
      <c r="G72" s="469"/>
      <c r="H72" s="799"/>
      <c r="I72" s="800"/>
      <c r="J72" s="800"/>
      <c r="K72" s="801"/>
      <c r="M72" s="477"/>
    </row>
    <row r="73" spans="1:13" ht="45" customHeight="1" x14ac:dyDescent="0.25">
      <c r="A73" s="473" t="s">
        <v>365</v>
      </c>
      <c r="B73" s="796" t="s">
        <v>392</v>
      </c>
      <c r="C73" s="797"/>
      <c r="D73" s="798"/>
      <c r="E73" s="467" t="s">
        <v>90</v>
      </c>
      <c r="F73" s="468">
        <v>297</v>
      </c>
      <c r="G73" s="469"/>
      <c r="H73" s="799"/>
      <c r="I73" s="800"/>
      <c r="J73" s="800"/>
      <c r="K73" s="801"/>
      <c r="M73" s="477"/>
    </row>
    <row r="74" spans="1:13" ht="96.75" customHeight="1" x14ac:dyDescent="0.25">
      <c r="A74" s="473" t="s">
        <v>484</v>
      </c>
      <c r="B74" s="796" t="s">
        <v>479</v>
      </c>
      <c r="C74" s="797"/>
      <c r="D74" s="798"/>
      <c r="E74" s="467" t="s">
        <v>113</v>
      </c>
      <c r="F74" s="468">
        <v>2</v>
      </c>
      <c r="G74" s="469"/>
      <c r="H74" s="799"/>
      <c r="I74" s="800"/>
      <c r="J74" s="800"/>
      <c r="K74" s="801"/>
      <c r="M74" s="477"/>
    </row>
    <row r="75" spans="1:13" ht="81" customHeight="1" x14ac:dyDescent="0.25">
      <c r="A75" s="473" t="s">
        <v>735</v>
      </c>
      <c r="B75" s="796" t="s">
        <v>480</v>
      </c>
      <c r="C75" s="797"/>
      <c r="D75" s="798"/>
      <c r="E75" s="467" t="s">
        <v>113</v>
      </c>
      <c r="F75" s="468">
        <v>2</v>
      </c>
      <c r="G75" s="469"/>
      <c r="H75" s="799"/>
      <c r="I75" s="800"/>
      <c r="J75" s="800"/>
      <c r="K75" s="801"/>
      <c r="M75" s="477"/>
    </row>
    <row r="76" spans="1:13" ht="56.25" customHeight="1" x14ac:dyDescent="0.25">
      <c r="A76" s="473" t="s">
        <v>736</v>
      </c>
      <c r="B76" s="796" t="s">
        <v>393</v>
      </c>
      <c r="C76" s="797"/>
      <c r="D76" s="798"/>
      <c r="E76" s="467" t="s">
        <v>113</v>
      </c>
      <c r="F76" s="468">
        <v>1</v>
      </c>
      <c r="G76" s="469"/>
      <c r="H76" s="799"/>
      <c r="I76" s="800"/>
      <c r="J76" s="800"/>
      <c r="K76" s="801"/>
      <c r="M76" s="477"/>
    </row>
    <row r="77" spans="1:13" ht="30" customHeight="1" x14ac:dyDescent="0.25">
      <c r="A77" s="473" t="s">
        <v>737</v>
      </c>
      <c r="B77" s="796" t="s">
        <v>486</v>
      </c>
      <c r="C77" s="797"/>
      <c r="D77" s="798"/>
      <c r="E77" s="467" t="s">
        <v>4</v>
      </c>
      <c r="F77" s="468">
        <v>593</v>
      </c>
      <c r="G77" s="469"/>
      <c r="H77" s="799"/>
      <c r="I77" s="800"/>
      <c r="J77" s="800"/>
      <c r="K77" s="801"/>
      <c r="M77" s="477"/>
    </row>
    <row r="78" spans="1:13" ht="15" customHeight="1" x14ac:dyDescent="0.25">
      <c r="A78" s="788" t="s">
        <v>189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90"/>
      <c r="M78" s="477"/>
    </row>
    <row r="79" spans="1:13" ht="15" customHeight="1" x14ac:dyDescent="0.25">
      <c r="A79" s="475">
        <v>2.1</v>
      </c>
      <c r="B79" s="809" t="s">
        <v>6</v>
      </c>
      <c r="C79" s="810"/>
      <c r="D79" s="811"/>
      <c r="E79" s="812"/>
      <c r="F79" s="813"/>
      <c r="G79" s="813"/>
      <c r="H79" s="813"/>
      <c r="I79" s="813"/>
      <c r="J79" s="813"/>
      <c r="K79" s="814"/>
      <c r="M79" s="477"/>
    </row>
    <row r="80" spans="1:13" ht="58.5" customHeight="1" x14ac:dyDescent="0.25">
      <c r="A80" s="473" t="s">
        <v>366</v>
      </c>
      <c r="B80" s="796" t="s">
        <v>506</v>
      </c>
      <c r="C80" s="797"/>
      <c r="D80" s="798"/>
      <c r="E80" s="467" t="s">
        <v>7</v>
      </c>
      <c r="F80" s="468">
        <v>440</v>
      </c>
      <c r="G80" s="469"/>
      <c r="H80" s="799"/>
      <c r="I80" s="800"/>
      <c r="J80" s="800"/>
      <c r="K80" s="801"/>
      <c r="M80" s="477"/>
    </row>
    <row r="81" spans="1:13" ht="30" customHeight="1" x14ac:dyDescent="0.25">
      <c r="A81" s="473" t="s">
        <v>367</v>
      </c>
      <c r="B81" s="796" t="s">
        <v>95</v>
      </c>
      <c r="C81" s="797"/>
      <c r="D81" s="798"/>
      <c r="E81" s="467" t="s">
        <v>7</v>
      </c>
      <c r="F81" s="468">
        <v>14.525000000000002</v>
      </c>
      <c r="G81" s="469"/>
      <c r="H81" s="799"/>
      <c r="I81" s="800"/>
      <c r="J81" s="800"/>
      <c r="K81" s="801"/>
      <c r="M81" s="477"/>
    </row>
    <row r="82" spans="1:13" ht="42.75" customHeight="1" x14ac:dyDescent="0.25">
      <c r="A82" s="473" t="s">
        <v>368</v>
      </c>
      <c r="B82" s="796" t="s">
        <v>394</v>
      </c>
      <c r="C82" s="797"/>
      <c r="D82" s="798"/>
      <c r="E82" s="467" t="s">
        <v>7</v>
      </c>
      <c r="F82" s="468">
        <v>163</v>
      </c>
      <c r="G82" s="469"/>
      <c r="H82" s="799"/>
      <c r="I82" s="800"/>
      <c r="J82" s="800"/>
      <c r="K82" s="801"/>
      <c r="M82" s="477"/>
    </row>
    <row r="83" spans="1:13" ht="32.25" customHeight="1" x14ac:dyDescent="0.25">
      <c r="A83" s="473" t="s">
        <v>369</v>
      </c>
      <c r="B83" s="796" t="s">
        <v>514</v>
      </c>
      <c r="C83" s="797"/>
      <c r="D83" s="798"/>
      <c r="E83" s="467" t="s">
        <v>7</v>
      </c>
      <c r="F83" s="468">
        <v>503</v>
      </c>
      <c r="G83" s="469"/>
      <c r="H83" s="799"/>
      <c r="I83" s="800"/>
      <c r="J83" s="800"/>
      <c r="K83" s="801"/>
      <c r="M83" s="477"/>
    </row>
    <row r="84" spans="1:13" ht="68.25" customHeight="1" x14ac:dyDescent="0.25">
      <c r="A84" s="473" t="s">
        <v>370</v>
      </c>
      <c r="B84" s="796" t="s">
        <v>395</v>
      </c>
      <c r="C84" s="797"/>
      <c r="D84" s="798"/>
      <c r="E84" s="467" t="s">
        <v>7</v>
      </c>
      <c r="F84" s="468">
        <v>78</v>
      </c>
      <c r="G84" s="469"/>
      <c r="H84" s="799"/>
      <c r="I84" s="800"/>
      <c r="J84" s="800"/>
      <c r="K84" s="801"/>
      <c r="M84" s="477"/>
    </row>
    <row r="85" spans="1:13" ht="15" customHeight="1" x14ac:dyDescent="0.25">
      <c r="A85" s="475">
        <v>2.2000000000000002</v>
      </c>
      <c r="B85" s="809" t="s">
        <v>8</v>
      </c>
      <c r="C85" s="810"/>
      <c r="D85" s="811"/>
      <c r="E85" s="812"/>
      <c r="F85" s="813"/>
      <c r="G85" s="813"/>
      <c r="H85" s="813"/>
      <c r="I85" s="813"/>
      <c r="J85" s="813"/>
      <c r="K85" s="814"/>
      <c r="M85" s="477"/>
    </row>
    <row r="86" spans="1:13" ht="45.75" customHeight="1" x14ac:dyDescent="0.25">
      <c r="A86" s="473" t="s">
        <v>371</v>
      </c>
      <c r="B86" s="796" t="s">
        <v>894</v>
      </c>
      <c r="C86" s="797"/>
      <c r="D86" s="798"/>
      <c r="E86" s="467" t="s">
        <v>7</v>
      </c>
      <c r="F86" s="468">
        <v>195</v>
      </c>
      <c r="G86" s="469"/>
      <c r="H86" s="799"/>
      <c r="I86" s="800"/>
      <c r="J86" s="800"/>
      <c r="K86" s="801"/>
      <c r="M86" s="477"/>
    </row>
    <row r="87" spans="1:13" ht="45" customHeight="1" x14ac:dyDescent="0.25">
      <c r="A87" s="473" t="s">
        <v>372</v>
      </c>
      <c r="B87" s="796" t="s">
        <v>195</v>
      </c>
      <c r="C87" s="797"/>
      <c r="D87" s="798"/>
      <c r="E87" s="467" t="s">
        <v>7</v>
      </c>
      <c r="F87" s="468">
        <v>243</v>
      </c>
      <c r="G87" s="469"/>
      <c r="H87" s="799"/>
      <c r="I87" s="800"/>
      <c r="J87" s="800"/>
      <c r="K87" s="801"/>
      <c r="M87" s="477"/>
    </row>
    <row r="88" spans="1:13" ht="71.25" customHeight="1" x14ac:dyDescent="0.25">
      <c r="A88" s="473" t="s">
        <v>373</v>
      </c>
      <c r="B88" s="796" t="s">
        <v>895</v>
      </c>
      <c r="C88" s="797"/>
      <c r="D88" s="798"/>
      <c r="E88" s="467" t="s">
        <v>7</v>
      </c>
      <c r="F88" s="468">
        <v>234</v>
      </c>
      <c r="G88" s="469"/>
      <c r="H88" s="799"/>
      <c r="I88" s="800"/>
      <c r="J88" s="800"/>
      <c r="K88" s="801"/>
      <c r="M88" s="477"/>
    </row>
    <row r="89" spans="1:13" ht="15" customHeight="1" x14ac:dyDescent="0.25">
      <c r="A89" s="475">
        <v>2.2999999999999998</v>
      </c>
      <c r="B89" s="809" t="s">
        <v>109</v>
      </c>
      <c r="C89" s="810"/>
      <c r="D89" s="811"/>
      <c r="E89" s="812"/>
      <c r="F89" s="813"/>
      <c r="G89" s="813"/>
      <c r="H89" s="813"/>
      <c r="I89" s="813"/>
      <c r="J89" s="813"/>
      <c r="K89" s="814"/>
      <c r="M89" s="477"/>
    </row>
    <row r="90" spans="1:13" ht="60" customHeight="1" x14ac:dyDescent="0.25">
      <c r="A90" s="473" t="s">
        <v>374</v>
      </c>
      <c r="B90" s="796" t="s">
        <v>780</v>
      </c>
      <c r="C90" s="797"/>
      <c r="D90" s="798"/>
      <c r="E90" s="467" t="s">
        <v>90</v>
      </c>
      <c r="F90" s="468">
        <v>45026.9712</v>
      </c>
      <c r="G90" s="469"/>
      <c r="H90" s="799"/>
      <c r="I90" s="800"/>
      <c r="J90" s="800"/>
      <c r="K90" s="801"/>
      <c r="M90" s="477"/>
    </row>
    <row r="91" spans="1:13" ht="20.399999999999999" customHeight="1" x14ac:dyDescent="0.25">
      <c r="A91" s="475">
        <v>2.4</v>
      </c>
      <c r="B91" s="809" t="s">
        <v>9</v>
      </c>
      <c r="C91" s="810"/>
      <c r="D91" s="811"/>
      <c r="E91" s="812"/>
      <c r="F91" s="813"/>
      <c r="G91" s="813"/>
      <c r="H91" s="813"/>
      <c r="I91" s="813"/>
      <c r="J91" s="813"/>
      <c r="K91" s="814"/>
      <c r="M91" s="477"/>
    </row>
    <row r="92" spans="1:13" ht="19.8" customHeight="1" x14ac:dyDescent="0.25">
      <c r="A92" s="473" t="s">
        <v>375</v>
      </c>
      <c r="B92" s="796" t="s">
        <v>190</v>
      </c>
      <c r="C92" s="797"/>
      <c r="D92" s="798"/>
      <c r="E92" s="467" t="s">
        <v>102</v>
      </c>
      <c r="F92" s="468">
        <v>1</v>
      </c>
      <c r="G92" s="469"/>
      <c r="H92" s="799"/>
      <c r="I92" s="800"/>
      <c r="J92" s="800"/>
      <c r="K92" s="801"/>
      <c r="M92" s="477"/>
    </row>
    <row r="93" spans="1:13" ht="33" customHeight="1" x14ac:dyDescent="0.25">
      <c r="A93" s="473" t="s">
        <v>376</v>
      </c>
      <c r="B93" s="796" t="s">
        <v>318</v>
      </c>
      <c r="C93" s="797"/>
      <c r="D93" s="798"/>
      <c r="E93" s="467" t="s">
        <v>5</v>
      </c>
      <c r="F93" s="468">
        <v>698.2</v>
      </c>
      <c r="G93" s="469"/>
      <c r="H93" s="799"/>
      <c r="I93" s="800"/>
      <c r="J93" s="800"/>
      <c r="K93" s="801"/>
      <c r="M93" s="477"/>
    </row>
    <row r="94" spans="1:13" ht="28.8" customHeight="1" x14ac:dyDescent="0.25">
      <c r="A94" s="473" t="s">
        <v>377</v>
      </c>
      <c r="B94" s="796" t="s">
        <v>322</v>
      </c>
      <c r="C94" s="797"/>
      <c r="D94" s="798"/>
      <c r="E94" s="467" t="s">
        <v>5</v>
      </c>
      <c r="F94" s="468">
        <v>85</v>
      </c>
      <c r="G94" s="469"/>
      <c r="H94" s="799"/>
      <c r="I94" s="800"/>
      <c r="J94" s="800"/>
      <c r="K94" s="801"/>
      <c r="M94" s="477"/>
    </row>
    <row r="95" spans="1:13" ht="63.75" customHeight="1" x14ac:dyDescent="0.25">
      <c r="A95" s="476" t="s">
        <v>378</v>
      </c>
      <c r="B95" s="796" t="s">
        <v>410</v>
      </c>
      <c r="C95" s="797"/>
      <c r="D95" s="798"/>
      <c r="E95" s="470" t="s">
        <v>235</v>
      </c>
      <c r="F95" s="468">
        <v>3</v>
      </c>
      <c r="G95" s="469"/>
      <c r="H95" s="799"/>
      <c r="I95" s="800"/>
      <c r="J95" s="800"/>
      <c r="K95" s="801"/>
      <c r="M95" s="477"/>
    </row>
    <row r="96" spans="1:13" ht="43.5" customHeight="1" x14ac:dyDescent="0.25">
      <c r="A96" s="476" t="s">
        <v>409</v>
      </c>
      <c r="B96" s="796" t="s">
        <v>419</v>
      </c>
      <c r="C96" s="797"/>
      <c r="D96" s="798"/>
      <c r="E96" s="470" t="s">
        <v>25</v>
      </c>
      <c r="F96" s="468">
        <v>4</v>
      </c>
      <c r="G96" s="469"/>
      <c r="H96" s="799"/>
      <c r="I96" s="800"/>
      <c r="J96" s="800"/>
      <c r="K96" s="801"/>
      <c r="M96" s="477"/>
    </row>
    <row r="97" spans="1:13" ht="27.75" customHeight="1" x14ac:dyDescent="0.25">
      <c r="A97" s="476" t="s">
        <v>411</v>
      </c>
      <c r="B97" s="796" t="s">
        <v>492</v>
      </c>
      <c r="C97" s="797"/>
      <c r="D97" s="798"/>
      <c r="E97" s="470" t="s">
        <v>102</v>
      </c>
      <c r="F97" s="468">
        <v>1</v>
      </c>
      <c r="G97" s="469"/>
      <c r="H97" s="799"/>
      <c r="I97" s="800"/>
      <c r="J97" s="800"/>
      <c r="K97" s="801"/>
      <c r="M97" s="477"/>
    </row>
    <row r="98" spans="1:13" ht="15" customHeight="1" x14ac:dyDescent="0.25">
      <c r="A98" s="788" t="s">
        <v>201</v>
      </c>
      <c r="B98" s="789"/>
      <c r="C98" s="789"/>
      <c r="D98" s="789"/>
      <c r="E98" s="789"/>
      <c r="F98" s="789"/>
      <c r="G98" s="789"/>
      <c r="H98" s="789"/>
      <c r="I98" s="789"/>
      <c r="J98" s="789"/>
      <c r="K98" s="790"/>
      <c r="M98" s="477"/>
    </row>
    <row r="99" spans="1:13" ht="15" customHeight="1" x14ac:dyDescent="0.25">
      <c r="A99" s="475">
        <v>3.1</v>
      </c>
      <c r="B99" s="809" t="s">
        <v>6</v>
      </c>
      <c r="C99" s="810"/>
      <c r="D99" s="811"/>
      <c r="E99" s="812"/>
      <c r="F99" s="813"/>
      <c r="G99" s="813"/>
      <c r="H99" s="813"/>
      <c r="I99" s="813"/>
      <c r="J99" s="813"/>
      <c r="K99" s="814"/>
      <c r="M99" s="477"/>
    </row>
    <row r="100" spans="1:13" ht="15.75" customHeight="1" x14ac:dyDescent="0.25">
      <c r="A100" s="473" t="s">
        <v>379</v>
      </c>
      <c r="B100" s="796" t="s">
        <v>220</v>
      </c>
      <c r="C100" s="797"/>
      <c r="D100" s="798"/>
      <c r="E100" s="467" t="s">
        <v>7</v>
      </c>
      <c r="F100" s="468">
        <v>1063</v>
      </c>
      <c r="G100" s="469"/>
      <c r="H100" s="799"/>
      <c r="I100" s="800"/>
      <c r="J100" s="800"/>
      <c r="K100" s="801"/>
      <c r="M100" s="477"/>
    </row>
    <row r="101" spans="1:13" ht="72" customHeight="1" x14ac:dyDescent="0.25">
      <c r="A101" s="473" t="s">
        <v>380</v>
      </c>
      <c r="B101" s="796" t="s">
        <v>286</v>
      </c>
      <c r="C101" s="797"/>
      <c r="D101" s="798"/>
      <c r="E101" s="467" t="s">
        <v>5</v>
      </c>
      <c r="F101" s="468">
        <v>323</v>
      </c>
      <c r="G101" s="469"/>
      <c r="H101" s="799"/>
      <c r="I101" s="800"/>
      <c r="J101" s="800"/>
      <c r="K101" s="801"/>
      <c r="M101" s="477"/>
    </row>
    <row r="102" spans="1:13" x14ac:dyDescent="0.25">
      <c r="A102" s="473" t="s">
        <v>381</v>
      </c>
      <c r="B102" s="796" t="s">
        <v>472</v>
      </c>
      <c r="C102" s="797"/>
      <c r="D102" s="798"/>
      <c r="E102" s="467" t="s">
        <v>7</v>
      </c>
      <c r="F102" s="468">
        <v>1170</v>
      </c>
      <c r="G102" s="469"/>
      <c r="H102" s="799"/>
      <c r="I102" s="800"/>
      <c r="J102" s="800"/>
      <c r="K102" s="801"/>
      <c r="M102" s="477"/>
    </row>
    <row r="103" spans="1:13" ht="60.75" customHeight="1" x14ac:dyDescent="0.25">
      <c r="A103" s="473" t="s">
        <v>382</v>
      </c>
      <c r="B103" s="796" t="s">
        <v>384</v>
      </c>
      <c r="C103" s="797"/>
      <c r="D103" s="798"/>
      <c r="E103" s="467" t="s">
        <v>7</v>
      </c>
      <c r="F103" s="468">
        <v>193</v>
      </c>
      <c r="G103" s="469"/>
      <c r="H103" s="799"/>
      <c r="I103" s="800"/>
      <c r="J103" s="800"/>
      <c r="K103" s="801"/>
      <c r="M103" s="477"/>
    </row>
    <row r="104" spans="1:13" x14ac:dyDescent="0.25">
      <c r="A104" s="815"/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M104" s="477"/>
    </row>
    <row r="105" spans="1:13" s="719" customFormat="1" ht="12.75" customHeight="1" x14ac:dyDescent="0.3">
      <c r="A105" s="744" t="s">
        <v>896</v>
      </c>
      <c r="B105" s="744"/>
      <c r="C105" s="744"/>
      <c r="D105" s="744"/>
      <c r="E105" s="744"/>
      <c r="F105" s="744"/>
      <c r="G105" s="744"/>
      <c r="H105" s="745">
        <f>ROUND(SUM(H14:K103),0)</f>
        <v>0</v>
      </c>
      <c r="I105" s="745"/>
      <c r="J105" s="745"/>
      <c r="K105" s="745"/>
      <c r="L105" s="718"/>
      <c r="M105" s="718"/>
    </row>
    <row r="106" spans="1:13" s="719" customFormat="1" ht="7.5" customHeight="1" x14ac:dyDescent="0.3">
      <c r="A106" s="733"/>
      <c r="B106" s="733"/>
      <c r="C106" s="733"/>
      <c r="D106" s="733"/>
      <c r="E106" s="734"/>
      <c r="F106" s="735"/>
      <c r="G106" s="734"/>
      <c r="H106" s="734"/>
      <c r="I106" s="734"/>
      <c r="J106" s="734"/>
      <c r="K106" s="734"/>
    </row>
    <row r="107" spans="1:13" s="719" customFormat="1" ht="12.75" customHeight="1" x14ac:dyDescent="0.3">
      <c r="A107" s="825" t="s">
        <v>897</v>
      </c>
      <c r="B107" s="826"/>
      <c r="C107" s="826"/>
      <c r="D107" s="826"/>
      <c r="E107" s="826"/>
      <c r="F107" s="827"/>
      <c r="G107" s="720">
        <v>0.27</v>
      </c>
      <c r="H107" s="828">
        <f>+ROUND(H105*0.27,0)</f>
        <v>0</v>
      </c>
      <c r="I107" s="829"/>
      <c r="J107" s="829"/>
      <c r="K107" s="830"/>
    </row>
    <row r="108" spans="1:13" s="719" customFormat="1" ht="12.75" customHeight="1" x14ac:dyDescent="0.3">
      <c r="A108" s="825" t="s">
        <v>898</v>
      </c>
      <c r="B108" s="826"/>
      <c r="C108" s="826"/>
      <c r="D108" s="826"/>
      <c r="E108" s="826"/>
      <c r="F108" s="827"/>
      <c r="G108" s="720">
        <v>0</v>
      </c>
      <c r="H108" s="828">
        <f>+G108</f>
        <v>0</v>
      </c>
      <c r="I108" s="829"/>
      <c r="J108" s="829"/>
      <c r="K108" s="830"/>
    </row>
    <row r="109" spans="1:13" s="719" customFormat="1" ht="15" customHeight="1" x14ac:dyDescent="0.3">
      <c r="A109" s="825" t="s">
        <v>899</v>
      </c>
      <c r="B109" s="826"/>
      <c r="C109" s="826"/>
      <c r="D109" s="826"/>
      <c r="E109" s="826"/>
      <c r="F109" s="827"/>
      <c r="G109" s="720">
        <v>0.05</v>
      </c>
      <c r="H109" s="828">
        <f>ROUND(+H105*0.05,0)</f>
        <v>0</v>
      </c>
      <c r="I109" s="829"/>
      <c r="J109" s="829"/>
      <c r="K109" s="830"/>
    </row>
    <row r="110" spans="1:13" s="719" customFormat="1" ht="12.75" customHeight="1" x14ac:dyDescent="0.3">
      <c r="A110" s="825" t="s">
        <v>900</v>
      </c>
      <c r="B110" s="826"/>
      <c r="C110" s="826"/>
      <c r="D110" s="826"/>
      <c r="E110" s="826"/>
      <c r="F110" s="827"/>
      <c r="G110" s="720">
        <v>0.19</v>
      </c>
      <c r="H110" s="828">
        <f>ROUND(H109*G110,0)</f>
        <v>0</v>
      </c>
      <c r="I110" s="829"/>
      <c r="J110" s="829"/>
      <c r="K110" s="830"/>
    </row>
    <row r="111" spans="1:13" s="719" customFormat="1" ht="4.5" customHeight="1" x14ac:dyDescent="0.3">
      <c r="A111" s="733"/>
      <c r="B111" s="733"/>
      <c r="C111" s="733"/>
      <c r="D111" s="733"/>
      <c r="E111" s="736"/>
      <c r="F111" s="737"/>
      <c r="G111" s="734"/>
      <c r="H111" s="734"/>
      <c r="I111" s="734"/>
      <c r="J111" s="734"/>
      <c r="K111" s="734"/>
    </row>
    <row r="112" spans="1:13" s="719" customFormat="1" ht="12.75" customHeight="1" x14ac:dyDescent="0.3">
      <c r="A112" s="744" t="s">
        <v>919</v>
      </c>
      <c r="B112" s="744"/>
      <c r="C112" s="744"/>
      <c r="D112" s="744"/>
      <c r="E112" s="744"/>
      <c r="F112" s="744"/>
      <c r="G112" s="744"/>
      <c r="H112" s="831">
        <f>+SUM(H105,H107:K110)</f>
        <v>0</v>
      </c>
      <c r="I112" s="831"/>
      <c r="J112" s="831"/>
      <c r="K112" s="831"/>
    </row>
    <row r="113" spans="1:13" s="719" customFormat="1" ht="7.5" customHeight="1" x14ac:dyDescent="0.3">
      <c r="A113" s="733"/>
      <c r="B113" s="733"/>
      <c r="C113" s="733"/>
      <c r="D113" s="733"/>
      <c r="E113" s="733"/>
      <c r="F113" s="738"/>
      <c r="G113" s="739"/>
      <c r="H113" s="733"/>
      <c r="I113" s="733"/>
      <c r="J113" s="733"/>
      <c r="K113" s="733"/>
    </row>
    <row r="114" spans="1:13" s="719" customFormat="1" ht="41.4" x14ac:dyDescent="0.3">
      <c r="A114" s="723" t="s">
        <v>920</v>
      </c>
      <c r="B114" s="723" t="s">
        <v>882</v>
      </c>
      <c r="C114" s="723" t="s">
        <v>235</v>
      </c>
      <c r="D114" s="723" t="s">
        <v>921</v>
      </c>
      <c r="E114" s="723" t="s">
        <v>946</v>
      </c>
      <c r="F114" s="723" t="s">
        <v>945</v>
      </c>
      <c r="G114" s="723" t="s">
        <v>922</v>
      </c>
      <c r="H114" s="768" t="s">
        <v>923</v>
      </c>
      <c r="I114" s="769"/>
      <c r="J114" s="769"/>
      <c r="K114" s="770"/>
    </row>
    <row r="115" spans="1:13" s="719" customFormat="1" ht="29.25" customHeight="1" x14ac:dyDescent="0.3">
      <c r="A115" s="724">
        <v>4</v>
      </c>
      <c r="B115" s="771" t="s">
        <v>924</v>
      </c>
      <c r="C115" s="772"/>
      <c r="D115" s="772"/>
      <c r="E115" s="772"/>
      <c r="F115" s="772"/>
      <c r="G115" s="772"/>
      <c r="H115" s="773"/>
      <c r="I115" s="774"/>
      <c r="J115" s="774"/>
      <c r="K115" s="775"/>
    </row>
    <row r="116" spans="1:13" s="719" customFormat="1" ht="27.6" x14ac:dyDescent="0.3">
      <c r="A116" s="725">
        <v>4.01</v>
      </c>
      <c r="B116" s="741" t="s">
        <v>925</v>
      </c>
      <c r="C116" s="725" t="s">
        <v>926</v>
      </c>
      <c r="D116" s="727">
        <f>0.1/3</f>
        <v>3.3333333333333333E-2</v>
      </c>
      <c r="E116" s="725">
        <v>80</v>
      </c>
      <c r="F116" s="725">
        <v>6.5</v>
      </c>
      <c r="G116" s="728"/>
      <c r="H116" s="765"/>
      <c r="I116" s="765"/>
      <c r="J116" s="765"/>
      <c r="K116" s="765"/>
      <c r="M116" s="740"/>
    </row>
    <row r="117" spans="1:13" s="719" customFormat="1" ht="27.6" x14ac:dyDescent="0.3">
      <c r="A117" s="725">
        <v>4.0199999999999996</v>
      </c>
      <c r="B117" s="729" t="s">
        <v>927</v>
      </c>
      <c r="C117" s="725" t="s">
        <v>928</v>
      </c>
      <c r="D117" s="727">
        <v>0.10500000000000001</v>
      </c>
      <c r="E117" s="725">
        <v>80</v>
      </c>
      <c r="F117" s="725">
        <v>6.5</v>
      </c>
      <c r="G117" s="728"/>
      <c r="H117" s="765"/>
      <c r="I117" s="765"/>
      <c r="J117" s="765"/>
      <c r="K117" s="765"/>
    </row>
    <row r="118" spans="1:13" s="719" customFormat="1" ht="13.8" x14ac:dyDescent="0.3">
      <c r="A118" s="725">
        <v>4.03</v>
      </c>
      <c r="B118" s="729" t="s">
        <v>929</v>
      </c>
      <c r="C118" s="725" t="s">
        <v>930</v>
      </c>
      <c r="D118" s="727">
        <v>0.1</v>
      </c>
      <c r="E118" s="725">
        <v>80</v>
      </c>
      <c r="F118" s="725">
        <v>6.5</v>
      </c>
      <c r="G118" s="728"/>
      <c r="H118" s="765"/>
      <c r="I118" s="765"/>
      <c r="J118" s="765"/>
      <c r="K118" s="765"/>
    </row>
    <row r="119" spans="1:13" s="719" customFormat="1" ht="27.6" x14ac:dyDescent="0.3">
      <c r="A119" s="725">
        <v>4.04</v>
      </c>
      <c r="B119" s="729" t="s">
        <v>931</v>
      </c>
      <c r="C119" s="725" t="s">
        <v>930</v>
      </c>
      <c r="D119" s="727">
        <v>0.1</v>
      </c>
      <c r="E119" s="725">
        <v>80</v>
      </c>
      <c r="F119" s="725">
        <v>6.5</v>
      </c>
      <c r="G119" s="728"/>
      <c r="H119" s="765"/>
      <c r="I119" s="765"/>
      <c r="J119" s="765"/>
      <c r="K119" s="765"/>
    </row>
    <row r="120" spans="1:13" s="719" customFormat="1" ht="41.4" x14ac:dyDescent="0.3">
      <c r="A120" s="723" t="s">
        <v>920</v>
      </c>
      <c r="B120" s="723" t="s">
        <v>882</v>
      </c>
      <c r="C120" s="723" t="s">
        <v>235</v>
      </c>
      <c r="D120" s="723" t="s">
        <v>921</v>
      </c>
      <c r="E120" s="723" t="s">
        <v>946</v>
      </c>
      <c r="F120" s="723" t="s">
        <v>945</v>
      </c>
      <c r="G120" s="723" t="s">
        <v>922</v>
      </c>
      <c r="H120" s="768" t="s">
        <v>923</v>
      </c>
      <c r="I120" s="769"/>
      <c r="J120" s="769"/>
      <c r="K120" s="770"/>
    </row>
    <row r="121" spans="1:13" s="719" customFormat="1" ht="13.8" x14ac:dyDescent="0.3">
      <c r="A121" s="725">
        <v>4.05</v>
      </c>
      <c r="B121" s="729" t="s">
        <v>932</v>
      </c>
      <c r="C121" s="725" t="s">
        <v>930</v>
      </c>
      <c r="D121" s="727">
        <v>0.05</v>
      </c>
      <c r="E121" s="725">
        <v>80</v>
      </c>
      <c r="F121" s="725">
        <v>6.5</v>
      </c>
      <c r="G121" s="728"/>
      <c r="H121" s="765"/>
      <c r="I121" s="765"/>
      <c r="J121" s="765"/>
      <c r="K121" s="765"/>
    </row>
    <row r="122" spans="1:13" s="719" customFormat="1" ht="27.6" x14ac:dyDescent="0.3">
      <c r="A122" s="725">
        <v>4.0599999999999996</v>
      </c>
      <c r="B122" s="741" t="s">
        <v>933</v>
      </c>
      <c r="C122" s="725" t="s">
        <v>926</v>
      </c>
      <c r="D122" s="727">
        <v>6</v>
      </c>
      <c r="E122" s="725">
        <v>80</v>
      </c>
      <c r="F122" s="725">
        <v>6.5</v>
      </c>
      <c r="G122" s="728"/>
      <c r="H122" s="765"/>
      <c r="I122" s="765"/>
      <c r="J122" s="765"/>
      <c r="K122" s="765"/>
    </row>
    <row r="123" spans="1:13" s="719" customFormat="1" ht="27.6" x14ac:dyDescent="0.3">
      <c r="A123" s="725">
        <v>4.07</v>
      </c>
      <c r="B123" s="729" t="s">
        <v>934</v>
      </c>
      <c r="C123" s="725" t="s">
        <v>926</v>
      </c>
      <c r="D123" s="727">
        <v>24</v>
      </c>
      <c r="E123" s="725">
        <v>80</v>
      </c>
      <c r="F123" s="725">
        <v>6.5</v>
      </c>
      <c r="G123" s="728"/>
      <c r="H123" s="765"/>
      <c r="I123" s="765"/>
      <c r="J123" s="765"/>
      <c r="K123" s="765"/>
    </row>
    <row r="124" spans="1:13" s="719" customFormat="1" ht="27.6" x14ac:dyDescent="0.3">
      <c r="A124" s="725">
        <v>4.08</v>
      </c>
      <c r="B124" s="729" t="s">
        <v>935</v>
      </c>
      <c r="C124" s="725" t="s">
        <v>926</v>
      </c>
      <c r="D124" s="727">
        <f>19.2/20</f>
        <v>0.96</v>
      </c>
      <c r="E124" s="725">
        <v>80</v>
      </c>
      <c r="F124" s="725">
        <v>6.5</v>
      </c>
      <c r="G124" s="728"/>
      <c r="H124" s="765"/>
      <c r="I124" s="765"/>
      <c r="J124" s="765"/>
      <c r="K124" s="765"/>
    </row>
    <row r="125" spans="1:13" s="719" customFormat="1" ht="13.8" x14ac:dyDescent="0.3">
      <c r="A125" s="730"/>
      <c r="B125" s="730"/>
      <c r="C125" s="730"/>
      <c r="D125" s="730"/>
      <c r="E125" s="730"/>
      <c r="F125" s="730"/>
    </row>
    <row r="126" spans="1:13" s="719" customFormat="1" ht="13.8" x14ac:dyDescent="0.3">
      <c r="A126" s="723" t="s">
        <v>920</v>
      </c>
      <c r="B126" s="768" t="s">
        <v>882</v>
      </c>
      <c r="C126" s="769"/>
      <c r="D126" s="770"/>
      <c r="E126" s="723" t="s">
        <v>235</v>
      </c>
      <c r="F126" s="723" t="s">
        <v>17</v>
      </c>
      <c r="G126" s="723" t="s">
        <v>922</v>
      </c>
      <c r="H126" s="768" t="s">
        <v>923</v>
      </c>
      <c r="I126" s="769"/>
      <c r="J126" s="769"/>
      <c r="K126" s="770"/>
    </row>
    <row r="127" spans="1:13" s="719" customFormat="1" ht="26.25" customHeight="1" x14ac:dyDescent="0.3">
      <c r="A127" s="731">
        <v>5</v>
      </c>
      <c r="B127" s="771" t="s">
        <v>936</v>
      </c>
      <c r="C127" s="772"/>
      <c r="D127" s="772"/>
      <c r="E127" s="772"/>
      <c r="F127" s="772"/>
      <c r="G127" s="772"/>
      <c r="H127" s="773"/>
      <c r="I127" s="774"/>
      <c r="J127" s="774"/>
      <c r="K127" s="775"/>
    </row>
    <row r="128" spans="1:13" s="719" customFormat="1" ht="15" customHeight="1" x14ac:dyDescent="0.3">
      <c r="A128" s="725">
        <v>5.01</v>
      </c>
      <c r="B128" s="764" t="s">
        <v>937</v>
      </c>
      <c r="C128" s="764"/>
      <c r="D128" s="764"/>
      <c r="E128" s="725" t="s">
        <v>938</v>
      </c>
      <c r="F128" s="727">
        <v>2</v>
      </c>
      <c r="G128" s="728"/>
      <c r="H128" s="765"/>
      <c r="I128" s="765"/>
      <c r="J128" s="765"/>
      <c r="K128" s="765"/>
    </row>
    <row r="129" spans="1:13" s="719" customFormat="1" ht="12.75" customHeight="1" x14ac:dyDescent="0.3">
      <c r="A129" s="725">
        <v>5.0199999999999996</v>
      </c>
      <c r="B129" s="764" t="s">
        <v>939</v>
      </c>
      <c r="C129" s="764"/>
      <c r="D129" s="764"/>
      <c r="E129" s="725" t="s">
        <v>205</v>
      </c>
      <c r="F129" s="727">
        <v>2</v>
      </c>
      <c r="G129" s="728"/>
      <c r="H129" s="765"/>
      <c r="I129" s="765"/>
      <c r="J129" s="765"/>
      <c r="K129" s="765"/>
    </row>
    <row r="130" spans="1:13" s="719" customFormat="1" ht="15" customHeight="1" x14ac:dyDescent="0.3">
      <c r="A130" s="725">
        <v>5.03</v>
      </c>
      <c r="B130" s="764" t="s">
        <v>940</v>
      </c>
      <c r="C130" s="764"/>
      <c r="D130" s="764"/>
      <c r="E130" s="725" t="s">
        <v>205</v>
      </c>
      <c r="F130" s="727">
        <v>1</v>
      </c>
      <c r="G130" s="728"/>
      <c r="H130" s="765"/>
      <c r="I130" s="765"/>
      <c r="J130" s="765"/>
      <c r="K130" s="765"/>
    </row>
    <row r="131" spans="1:13" s="719" customFormat="1" ht="13.8" x14ac:dyDescent="0.3">
      <c r="F131" s="721"/>
      <c r="G131" s="722"/>
    </row>
    <row r="132" spans="1:13" s="719" customFormat="1" ht="29.25" customHeight="1" x14ac:dyDescent="0.3">
      <c r="A132" s="766" t="s">
        <v>941</v>
      </c>
      <c r="B132" s="766"/>
      <c r="C132" s="766"/>
      <c r="D132" s="766"/>
      <c r="E132" s="766"/>
      <c r="F132" s="766"/>
      <c r="G132" s="766"/>
      <c r="H132" s="766"/>
      <c r="I132" s="766"/>
      <c r="J132" s="766"/>
      <c r="K132" s="766"/>
    </row>
    <row r="133" spans="1:13" s="719" customFormat="1" ht="13.8" x14ac:dyDescent="0.3">
      <c r="A133" s="742"/>
      <c r="B133" s="742"/>
      <c r="C133" s="742"/>
      <c r="D133" s="742"/>
      <c r="E133" s="742"/>
      <c r="F133" s="742"/>
      <c r="G133" s="742"/>
      <c r="H133" s="742"/>
      <c r="I133" s="742"/>
      <c r="J133" s="742"/>
      <c r="K133" s="742"/>
    </row>
    <row r="134" spans="1:13" s="719" customFormat="1" ht="15.75" customHeight="1" x14ac:dyDescent="0.3">
      <c r="A134" s="744" t="s">
        <v>942</v>
      </c>
      <c r="B134" s="744"/>
      <c r="C134" s="744"/>
      <c r="D134" s="744"/>
      <c r="E134" s="744"/>
      <c r="F134" s="744"/>
      <c r="G134" s="744"/>
      <c r="H134" s="767">
        <f>+H127+H115</f>
        <v>0</v>
      </c>
      <c r="I134" s="745"/>
      <c r="J134" s="745"/>
      <c r="K134" s="745"/>
    </row>
    <row r="135" spans="1:13" s="719" customFormat="1" ht="15.75" customHeight="1" x14ac:dyDescent="0.3">
      <c r="A135" s="744" t="s">
        <v>943</v>
      </c>
      <c r="B135" s="744"/>
      <c r="C135" s="744"/>
      <c r="D135" s="744"/>
      <c r="E135" s="744"/>
      <c r="F135" s="744"/>
      <c r="G135" s="744"/>
      <c r="H135" s="767">
        <f>+H112</f>
        <v>0</v>
      </c>
      <c r="I135" s="745"/>
      <c r="J135" s="745"/>
      <c r="K135" s="745"/>
    </row>
    <row r="136" spans="1:13" s="719" customFormat="1" ht="15.75" customHeight="1" x14ac:dyDescent="0.3">
      <c r="A136" s="744" t="s">
        <v>944</v>
      </c>
      <c r="B136" s="744"/>
      <c r="C136" s="744"/>
      <c r="D136" s="744"/>
      <c r="E136" s="744"/>
      <c r="F136" s="744"/>
      <c r="G136" s="744"/>
      <c r="H136" s="745">
        <f>+H134+H135</f>
        <v>0</v>
      </c>
      <c r="I136" s="745"/>
      <c r="J136" s="745"/>
      <c r="K136" s="745"/>
      <c r="M136" s="743"/>
    </row>
    <row r="137" spans="1:13" ht="15.75" customHeight="1" x14ac:dyDescent="0.25">
      <c r="A137" s="717"/>
      <c r="B137" s="717"/>
      <c r="C137" s="717"/>
      <c r="D137" s="717"/>
      <c r="E137" s="717"/>
      <c r="F137" s="717"/>
      <c r="G137" s="717"/>
      <c r="H137" s="717"/>
      <c r="I137" s="717"/>
      <c r="J137" s="717"/>
      <c r="K137" s="717"/>
    </row>
    <row r="138" spans="1:13" x14ac:dyDescent="0.25">
      <c r="A138" s="819" t="s">
        <v>901</v>
      </c>
      <c r="B138" s="820"/>
      <c r="C138" s="820"/>
      <c r="D138" s="820"/>
      <c r="E138" s="820"/>
      <c r="F138" s="821"/>
      <c r="G138" s="778" t="s">
        <v>902</v>
      </c>
      <c r="H138" s="778"/>
      <c r="I138" s="778"/>
      <c r="J138" s="778"/>
      <c r="K138" s="778"/>
    </row>
    <row r="139" spans="1:13" ht="22.5" customHeight="1" x14ac:dyDescent="0.25">
      <c r="A139" s="478" t="s">
        <v>905</v>
      </c>
      <c r="B139" s="822" t="s">
        <v>906</v>
      </c>
      <c r="C139" s="823"/>
      <c r="D139" s="823"/>
      <c r="E139" s="823"/>
      <c r="F139" s="824"/>
      <c r="G139" s="817"/>
      <c r="H139" s="817"/>
      <c r="I139" s="817"/>
      <c r="J139" s="817"/>
      <c r="K139" s="817"/>
    </row>
    <row r="140" spans="1:13" ht="26.25" customHeight="1" x14ac:dyDescent="0.25">
      <c r="A140" s="478" t="s">
        <v>903</v>
      </c>
      <c r="B140" s="816" t="s">
        <v>907</v>
      </c>
      <c r="C140" s="816"/>
      <c r="D140" s="816"/>
      <c r="E140" s="816"/>
      <c r="F140" s="816"/>
      <c r="G140" s="817"/>
      <c r="H140" s="817"/>
      <c r="I140" s="817"/>
      <c r="J140" s="817"/>
      <c r="K140" s="817"/>
    </row>
    <row r="141" spans="1:13" ht="24.75" customHeight="1" x14ac:dyDescent="0.25">
      <c r="A141" s="478" t="s">
        <v>904</v>
      </c>
      <c r="B141" s="816" t="s">
        <v>915</v>
      </c>
      <c r="C141" s="816"/>
      <c r="D141" s="816"/>
      <c r="E141" s="816"/>
      <c r="F141" s="816"/>
      <c r="G141" s="817"/>
      <c r="H141" s="817"/>
      <c r="I141" s="817"/>
      <c r="J141" s="817"/>
      <c r="K141" s="817"/>
    </row>
    <row r="143" spans="1:13" x14ac:dyDescent="0.25">
      <c r="A143" s="818" t="s">
        <v>916</v>
      </c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</row>
    <row r="144" spans="1:13" x14ac:dyDescent="0.25">
      <c r="A144" s="818"/>
      <c r="B144" s="818"/>
      <c r="C144" s="818"/>
      <c r="D144" s="818"/>
      <c r="E144" s="818"/>
      <c r="F144" s="818"/>
      <c r="G144" s="818"/>
      <c r="H144" s="818"/>
      <c r="I144" s="818"/>
      <c r="J144" s="818"/>
      <c r="K144" s="818"/>
    </row>
    <row r="145" spans="1:11" ht="43.5" customHeight="1" x14ac:dyDescent="0.25">
      <c r="A145" s="818"/>
      <c r="B145" s="818"/>
      <c r="C145" s="818"/>
      <c r="D145" s="818"/>
      <c r="E145" s="818"/>
      <c r="F145" s="818"/>
      <c r="G145" s="818"/>
      <c r="H145" s="818"/>
      <c r="I145" s="818"/>
      <c r="J145" s="818"/>
      <c r="K145" s="818"/>
    </row>
  </sheetData>
  <mergeCells count="251">
    <mergeCell ref="B141:F141"/>
    <mergeCell ref="G141:K141"/>
    <mergeCell ref="A143:K145"/>
    <mergeCell ref="A138:F138"/>
    <mergeCell ref="G138:K138"/>
    <mergeCell ref="B139:F139"/>
    <mergeCell ref="G139:K139"/>
    <mergeCell ref="B140:F140"/>
    <mergeCell ref="G140:K140"/>
    <mergeCell ref="A132:K132"/>
    <mergeCell ref="A134:G134"/>
    <mergeCell ref="H134:K134"/>
    <mergeCell ref="A135:G135"/>
    <mergeCell ref="H135:K135"/>
    <mergeCell ref="A136:G136"/>
    <mergeCell ref="H136:K136"/>
    <mergeCell ref="B128:D128"/>
    <mergeCell ref="H128:K128"/>
    <mergeCell ref="B129:D129"/>
    <mergeCell ref="H129:K129"/>
    <mergeCell ref="B130:D130"/>
    <mergeCell ref="H130:K130"/>
    <mergeCell ref="H122:K122"/>
    <mergeCell ref="H123:K123"/>
    <mergeCell ref="H124:K124"/>
    <mergeCell ref="B126:D126"/>
    <mergeCell ref="H126:K126"/>
    <mergeCell ref="B127:G127"/>
    <mergeCell ref="H127:K127"/>
    <mergeCell ref="H116:K116"/>
    <mergeCell ref="H117:K117"/>
    <mergeCell ref="H118:K118"/>
    <mergeCell ref="H119:K119"/>
    <mergeCell ref="H120:K120"/>
    <mergeCell ref="H121:K121"/>
    <mergeCell ref="A110:F110"/>
    <mergeCell ref="H110:K110"/>
    <mergeCell ref="A112:G112"/>
    <mergeCell ref="H112:K112"/>
    <mergeCell ref="H114:K114"/>
    <mergeCell ref="B115:G115"/>
    <mergeCell ref="H115:K115"/>
    <mergeCell ref="A107:F107"/>
    <mergeCell ref="H107:K107"/>
    <mergeCell ref="A108:F108"/>
    <mergeCell ref="H108:K108"/>
    <mergeCell ref="A109:F109"/>
    <mergeCell ref="H109:K109"/>
    <mergeCell ref="B102:D102"/>
    <mergeCell ref="H102:K102"/>
    <mergeCell ref="B103:D103"/>
    <mergeCell ref="H103:K103"/>
    <mergeCell ref="A104:K104"/>
    <mergeCell ref="A105:G105"/>
    <mergeCell ref="H105:K105"/>
    <mergeCell ref="A98:K98"/>
    <mergeCell ref="B99:D99"/>
    <mergeCell ref="E99:K99"/>
    <mergeCell ref="B100:D100"/>
    <mergeCell ref="H100:K100"/>
    <mergeCell ref="B101:D101"/>
    <mergeCell ref="H101:K101"/>
    <mergeCell ref="B95:D95"/>
    <mergeCell ref="H95:K95"/>
    <mergeCell ref="B96:D96"/>
    <mergeCell ref="H96:K96"/>
    <mergeCell ref="B97:D97"/>
    <mergeCell ref="H97:K97"/>
    <mergeCell ref="B92:D92"/>
    <mergeCell ref="H92:K92"/>
    <mergeCell ref="B93:D93"/>
    <mergeCell ref="H93:K93"/>
    <mergeCell ref="B94:D94"/>
    <mergeCell ref="H94:K94"/>
    <mergeCell ref="B89:D89"/>
    <mergeCell ref="E89:K89"/>
    <mergeCell ref="B90:D90"/>
    <mergeCell ref="H90:K90"/>
    <mergeCell ref="B91:D91"/>
    <mergeCell ref="E91:K91"/>
    <mergeCell ref="B86:D86"/>
    <mergeCell ref="H86:K86"/>
    <mergeCell ref="B87:D87"/>
    <mergeCell ref="H87:K87"/>
    <mergeCell ref="B88:D88"/>
    <mergeCell ref="H88:K88"/>
    <mergeCell ref="B83:D83"/>
    <mergeCell ref="H83:K83"/>
    <mergeCell ref="B84:D84"/>
    <mergeCell ref="H84:K84"/>
    <mergeCell ref="B85:D85"/>
    <mergeCell ref="E85:K85"/>
    <mergeCell ref="B80:D80"/>
    <mergeCell ref="H80:K80"/>
    <mergeCell ref="B81:D81"/>
    <mergeCell ref="H81:K81"/>
    <mergeCell ref="B82:D82"/>
    <mergeCell ref="H82:K82"/>
    <mergeCell ref="B76:D76"/>
    <mergeCell ref="H76:K76"/>
    <mergeCell ref="B77:D77"/>
    <mergeCell ref="H77:K77"/>
    <mergeCell ref="A78:K78"/>
    <mergeCell ref="B79:D79"/>
    <mergeCell ref="E79:K79"/>
    <mergeCell ref="B73:D73"/>
    <mergeCell ref="H73:K73"/>
    <mergeCell ref="B74:D74"/>
    <mergeCell ref="H74:K74"/>
    <mergeCell ref="B75:D75"/>
    <mergeCell ref="H75:K75"/>
    <mergeCell ref="B70:D70"/>
    <mergeCell ref="H70:K70"/>
    <mergeCell ref="B71:D71"/>
    <mergeCell ref="H71:K71"/>
    <mergeCell ref="B72:D72"/>
    <mergeCell ref="H72:K72"/>
    <mergeCell ref="B67:D67"/>
    <mergeCell ref="H67:K67"/>
    <mergeCell ref="B68:D68"/>
    <mergeCell ref="H68:K68"/>
    <mergeCell ref="B69:D69"/>
    <mergeCell ref="H69:K69"/>
    <mergeCell ref="B64:D64"/>
    <mergeCell ref="H64:K64"/>
    <mergeCell ref="B65:D65"/>
    <mergeCell ref="H65:K65"/>
    <mergeCell ref="B66:D66"/>
    <mergeCell ref="H66:K66"/>
    <mergeCell ref="B61:D61"/>
    <mergeCell ref="H61:K61"/>
    <mergeCell ref="B62:D62"/>
    <mergeCell ref="H62:K62"/>
    <mergeCell ref="B63:D63"/>
    <mergeCell ref="E63:K63"/>
    <mergeCell ref="B58:D58"/>
    <mergeCell ref="H58:K58"/>
    <mergeCell ref="B59:D59"/>
    <mergeCell ref="H59:K59"/>
    <mergeCell ref="B60:D60"/>
    <mergeCell ref="E60:K60"/>
    <mergeCell ref="B55:D55"/>
    <mergeCell ref="H55:K55"/>
    <mergeCell ref="B56:D56"/>
    <mergeCell ref="H56:K56"/>
    <mergeCell ref="B57:D57"/>
    <mergeCell ref="H57:K57"/>
    <mergeCell ref="B52:D52"/>
    <mergeCell ref="H52:K52"/>
    <mergeCell ref="B53:D53"/>
    <mergeCell ref="H53:K53"/>
    <mergeCell ref="B54:D54"/>
    <mergeCell ref="H54:K54"/>
    <mergeCell ref="B49:D49"/>
    <mergeCell ref="H49:K49"/>
    <mergeCell ref="B50:D50"/>
    <mergeCell ref="H50:K50"/>
    <mergeCell ref="B51:D51"/>
    <mergeCell ref="E51:K51"/>
    <mergeCell ref="B46:D46"/>
    <mergeCell ref="H46:K46"/>
    <mergeCell ref="B47:D47"/>
    <mergeCell ref="H47:K47"/>
    <mergeCell ref="B48:D48"/>
    <mergeCell ref="H48:K48"/>
    <mergeCell ref="B43:D43"/>
    <mergeCell ref="H43:K43"/>
    <mergeCell ref="B44:D44"/>
    <mergeCell ref="H44:K44"/>
    <mergeCell ref="B45:D45"/>
    <mergeCell ref="E45:K45"/>
    <mergeCell ref="B40:D40"/>
    <mergeCell ref="E40:K40"/>
    <mergeCell ref="B41:D41"/>
    <mergeCell ref="H41:K41"/>
    <mergeCell ref="B42:D42"/>
    <mergeCell ref="H42:K42"/>
    <mergeCell ref="B37:D37"/>
    <mergeCell ref="H37:K37"/>
    <mergeCell ref="B38:D38"/>
    <mergeCell ref="E38:K38"/>
    <mergeCell ref="B39:D39"/>
    <mergeCell ref="H39:K39"/>
    <mergeCell ref="B34:D34"/>
    <mergeCell ref="H34:K34"/>
    <mergeCell ref="B35:D35"/>
    <mergeCell ref="H35:K35"/>
    <mergeCell ref="B36:D36"/>
    <mergeCell ref="E36:K36"/>
    <mergeCell ref="B31:D31"/>
    <mergeCell ref="H31:K31"/>
    <mergeCell ref="B32:D32"/>
    <mergeCell ref="H32:K32"/>
    <mergeCell ref="B33:D33"/>
    <mergeCell ref="E33:K33"/>
    <mergeCell ref="B28:D28"/>
    <mergeCell ref="H28:K28"/>
    <mergeCell ref="B29:D29"/>
    <mergeCell ref="H29:K29"/>
    <mergeCell ref="B30:D30"/>
    <mergeCell ref="E30:K30"/>
    <mergeCell ref="B25:D25"/>
    <mergeCell ref="H25:K25"/>
    <mergeCell ref="B26:D26"/>
    <mergeCell ref="H26:K26"/>
    <mergeCell ref="B27:D27"/>
    <mergeCell ref="H27:K27"/>
    <mergeCell ref="B22:D22"/>
    <mergeCell ref="H22:K22"/>
    <mergeCell ref="B23:D23"/>
    <mergeCell ref="E23:K23"/>
    <mergeCell ref="B24:D24"/>
    <mergeCell ref="E24:K24"/>
    <mergeCell ref="B19:D19"/>
    <mergeCell ref="H19:K19"/>
    <mergeCell ref="B20:D20"/>
    <mergeCell ref="H20:K20"/>
    <mergeCell ref="B21:D21"/>
    <mergeCell ref="H21:K21"/>
    <mergeCell ref="B16:D16"/>
    <mergeCell ref="H16:K16"/>
    <mergeCell ref="B17:D17"/>
    <mergeCell ref="H17:K17"/>
    <mergeCell ref="B18:D18"/>
    <mergeCell ref="H18:K18"/>
    <mergeCell ref="B13:D13"/>
    <mergeCell ref="E13:K13"/>
    <mergeCell ref="B14:D14"/>
    <mergeCell ref="H14:K14"/>
    <mergeCell ref="B15:D15"/>
    <mergeCell ref="H15:K15"/>
    <mergeCell ref="A9:B9"/>
    <mergeCell ref="C9:K9"/>
    <mergeCell ref="A10:K10"/>
    <mergeCell ref="B11:D11"/>
    <mergeCell ref="H11:K11"/>
    <mergeCell ref="A12:K12"/>
    <mergeCell ref="A6:K6"/>
    <mergeCell ref="A7:B7"/>
    <mergeCell ref="C7:G7"/>
    <mergeCell ref="H7:H8"/>
    <mergeCell ref="A8:B8"/>
    <mergeCell ref="C8:G8"/>
    <mergeCell ref="A1:G1"/>
    <mergeCell ref="H1:K1"/>
    <mergeCell ref="A2:B5"/>
    <mergeCell ref="C2:G5"/>
    <mergeCell ref="H2:K2"/>
    <mergeCell ref="H3:K3"/>
    <mergeCell ref="H4:K4"/>
    <mergeCell ref="H5:K5"/>
  </mergeCells>
  <printOptions horizontalCentered="1"/>
  <pageMargins left="0.39370078740157483" right="0.39370078740157483" top="0.39370078740157483" bottom="0.39370078740157483" header="0.31496062992125984" footer="0.31496062992125984"/>
  <pageSetup scale="76" fitToHeight="0" orientation="portrait" r:id="rId1"/>
  <rowBreaks count="5" manualBreakCount="5">
    <brk id="37" max="10" man="1"/>
    <brk id="58" max="10" man="1"/>
    <brk id="74" max="10" man="1"/>
    <brk id="94" max="10" man="1"/>
    <brk id="13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view="pageBreakPreview" zoomScale="70" zoomScaleNormal="100" zoomScaleSheetLayoutView="70" workbookViewId="0">
      <selection activeCell="H136" sqref="H136:K136"/>
    </sheetView>
  </sheetViews>
  <sheetFormatPr baseColWidth="10" defaultColWidth="11.5546875" defaultRowHeight="13.2" x14ac:dyDescent="0.25"/>
  <cols>
    <col min="1" max="1" width="9.44140625" style="463" bestFit="1" customWidth="1"/>
    <col min="2" max="3" width="17" style="463" customWidth="1"/>
    <col min="4" max="4" width="24.33203125" style="463" customWidth="1"/>
    <col min="5" max="5" width="9" style="463" customWidth="1"/>
    <col min="6" max="6" width="11.109375" style="463" customWidth="1"/>
    <col min="7" max="8" width="13.44140625" style="463" customWidth="1"/>
    <col min="9" max="11" width="4.6640625" style="463" customWidth="1"/>
    <col min="12" max="12" width="11.5546875" style="463"/>
    <col min="13" max="13" width="14.6640625" style="463" bestFit="1" customWidth="1"/>
    <col min="14" max="257" width="11.5546875" style="463"/>
    <col min="258" max="258" width="7.6640625" style="463" customWidth="1"/>
    <col min="259" max="259" width="17" style="463" customWidth="1"/>
    <col min="260" max="260" width="24.33203125" style="463" customWidth="1"/>
    <col min="261" max="261" width="9" style="463" customWidth="1"/>
    <col min="262" max="262" width="11.109375" style="463" customWidth="1"/>
    <col min="263" max="264" width="13.44140625" style="463" customWidth="1"/>
    <col min="265" max="267" width="4.6640625" style="463" customWidth="1"/>
    <col min="268" max="268" width="11.5546875" style="463"/>
    <col min="269" max="269" width="13.33203125" style="463" bestFit="1" customWidth="1"/>
    <col min="270" max="513" width="11.5546875" style="463"/>
    <col min="514" max="514" width="7.6640625" style="463" customWidth="1"/>
    <col min="515" max="515" width="17" style="463" customWidth="1"/>
    <col min="516" max="516" width="24.33203125" style="463" customWidth="1"/>
    <col min="517" max="517" width="9" style="463" customWidth="1"/>
    <col min="518" max="518" width="11.109375" style="463" customWidth="1"/>
    <col min="519" max="520" width="13.44140625" style="463" customWidth="1"/>
    <col min="521" max="523" width="4.6640625" style="463" customWidth="1"/>
    <col min="524" max="524" width="11.5546875" style="463"/>
    <col min="525" max="525" width="13.33203125" style="463" bestFit="1" customWidth="1"/>
    <col min="526" max="769" width="11.5546875" style="463"/>
    <col min="770" max="770" width="7.6640625" style="463" customWidth="1"/>
    <col min="771" max="771" width="17" style="463" customWidth="1"/>
    <col min="772" max="772" width="24.33203125" style="463" customWidth="1"/>
    <col min="773" max="773" width="9" style="463" customWidth="1"/>
    <col min="774" max="774" width="11.109375" style="463" customWidth="1"/>
    <col min="775" max="776" width="13.44140625" style="463" customWidth="1"/>
    <col min="777" max="779" width="4.6640625" style="463" customWidth="1"/>
    <col min="780" max="780" width="11.5546875" style="463"/>
    <col min="781" max="781" width="13.33203125" style="463" bestFit="1" customWidth="1"/>
    <col min="782" max="1025" width="11.5546875" style="463"/>
    <col min="1026" max="1026" width="7.6640625" style="463" customWidth="1"/>
    <col min="1027" max="1027" width="17" style="463" customWidth="1"/>
    <col min="1028" max="1028" width="24.33203125" style="463" customWidth="1"/>
    <col min="1029" max="1029" width="9" style="463" customWidth="1"/>
    <col min="1030" max="1030" width="11.109375" style="463" customWidth="1"/>
    <col min="1031" max="1032" width="13.44140625" style="463" customWidth="1"/>
    <col min="1033" max="1035" width="4.6640625" style="463" customWidth="1"/>
    <col min="1036" max="1036" width="11.5546875" style="463"/>
    <col min="1037" max="1037" width="13.33203125" style="463" bestFit="1" customWidth="1"/>
    <col min="1038" max="1281" width="11.5546875" style="463"/>
    <col min="1282" max="1282" width="7.6640625" style="463" customWidth="1"/>
    <col min="1283" max="1283" width="17" style="463" customWidth="1"/>
    <col min="1284" max="1284" width="24.33203125" style="463" customWidth="1"/>
    <col min="1285" max="1285" width="9" style="463" customWidth="1"/>
    <col min="1286" max="1286" width="11.109375" style="463" customWidth="1"/>
    <col min="1287" max="1288" width="13.44140625" style="463" customWidth="1"/>
    <col min="1289" max="1291" width="4.6640625" style="463" customWidth="1"/>
    <col min="1292" max="1292" width="11.5546875" style="463"/>
    <col min="1293" max="1293" width="13.33203125" style="463" bestFit="1" customWidth="1"/>
    <col min="1294" max="1537" width="11.5546875" style="463"/>
    <col min="1538" max="1538" width="7.6640625" style="463" customWidth="1"/>
    <col min="1539" max="1539" width="17" style="463" customWidth="1"/>
    <col min="1540" max="1540" width="24.33203125" style="463" customWidth="1"/>
    <col min="1541" max="1541" width="9" style="463" customWidth="1"/>
    <col min="1542" max="1542" width="11.109375" style="463" customWidth="1"/>
    <col min="1543" max="1544" width="13.44140625" style="463" customWidth="1"/>
    <col min="1545" max="1547" width="4.6640625" style="463" customWidth="1"/>
    <col min="1548" max="1548" width="11.5546875" style="463"/>
    <col min="1549" max="1549" width="13.33203125" style="463" bestFit="1" customWidth="1"/>
    <col min="1550" max="1793" width="11.5546875" style="463"/>
    <col min="1794" max="1794" width="7.6640625" style="463" customWidth="1"/>
    <col min="1795" max="1795" width="17" style="463" customWidth="1"/>
    <col min="1796" max="1796" width="24.33203125" style="463" customWidth="1"/>
    <col min="1797" max="1797" width="9" style="463" customWidth="1"/>
    <col min="1798" max="1798" width="11.109375" style="463" customWidth="1"/>
    <col min="1799" max="1800" width="13.44140625" style="463" customWidth="1"/>
    <col min="1801" max="1803" width="4.6640625" style="463" customWidth="1"/>
    <col min="1804" max="1804" width="11.5546875" style="463"/>
    <col min="1805" max="1805" width="13.33203125" style="463" bestFit="1" customWidth="1"/>
    <col min="1806" max="2049" width="11.5546875" style="463"/>
    <col min="2050" max="2050" width="7.6640625" style="463" customWidth="1"/>
    <col min="2051" max="2051" width="17" style="463" customWidth="1"/>
    <col min="2052" max="2052" width="24.33203125" style="463" customWidth="1"/>
    <col min="2053" max="2053" width="9" style="463" customWidth="1"/>
    <col min="2054" max="2054" width="11.109375" style="463" customWidth="1"/>
    <col min="2055" max="2056" width="13.44140625" style="463" customWidth="1"/>
    <col min="2057" max="2059" width="4.6640625" style="463" customWidth="1"/>
    <col min="2060" max="2060" width="11.5546875" style="463"/>
    <col min="2061" max="2061" width="13.33203125" style="463" bestFit="1" customWidth="1"/>
    <col min="2062" max="2305" width="11.5546875" style="463"/>
    <col min="2306" max="2306" width="7.6640625" style="463" customWidth="1"/>
    <col min="2307" max="2307" width="17" style="463" customWidth="1"/>
    <col min="2308" max="2308" width="24.33203125" style="463" customWidth="1"/>
    <col min="2309" max="2309" width="9" style="463" customWidth="1"/>
    <col min="2310" max="2310" width="11.109375" style="463" customWidth="1"/>
    <col min="2311" max="2312" width="13.44140625" style="463" customWidth="1"/>
    <col min="2313" max="2315" width="4.6640625" style="463" customWidth="1"/>
    <col min="2316" max="2316" width="11.5546875" style="463"/>
    <col min="2317" max="2317" width="13.33203125" style="463" bestFit="1" customWidth="1"/>
    <col min="2318" max="2561" width="11.5546875" style="463"/>
    <col min="2562" max="2562" width="7.6640625" style="463" customWidth="1"/>
    <col min="2563" max="2563" width="17" style="463" customWidth="1"/>
    <col min="2564" max="2564" width="24.33203125" style="463" customWidth="1"/>
    <col min="2565" max="2565" width="9" style="463" customWidth="1"/>
    <col min="2566" max="2566" width="11.109375" style="463" customWidth="1"/>
    <col min="2567" max="2568" width="13.44140625" style="463" customWidth="1"/>
    <col min="2569" max="2571" width="4.6640625" style="463" customWidth="1"/>
    <col min="2572" max="2572" width="11.5546875" style="463"/>
    <col min="2573" max="2573" width="13.33203125" style="463" bestFit="1" customWidth="1"/>
    <col min="2574" max="2817" width="11.5546875" style="463"/>
    <col min="2818" max="2818" width="7.6640625" style="463" customWidth="1"/>
    <col min="2819" max="2819" width="17" style="463" customWidth="1"/>
    <col min="2820" max="2820" width="24.33203125" style="463" customWidth="1"/>
    <col min="2821" max="2821" width="9" style="463" customWidth="1"/>
    <col min="2822" max="2822" width="11.109375" style="463" customWidth="1"/>
    <col min="2823" max="2824" width="13.44140625" style="463" customWidth="1"/>
    <col min="2825" max="2827" width="4.6640625" style="463" customWidth="1"/>
    <col min="2828" max="2828" width="11.5546875" style="463"/>
    <col min="2829" max="2829" width="13.33203125" style="463" bestFit="1" customWidth="1"/>
    <col min="2830" max="3073" width="11.5546875" style="463"/>
    <col min="3074" max="3074" width="7.6640625" style="463" customWidth="1"/>
    <col min="3075" max="3075" width="17" style="463" customWidth="1"/>
    <col min="3076" max="3076" width="24.33203125" style="463" customWidth="1"/>
    <col min="3077" max="3077" width="9" style="463" customWidth="1"/>
    <col min="3078" max="3078" width="11.109375" style="463" customWidth="1"/>
    <col min="3079" max="3080" width="13.44140625" style="463" customWidth="1"/>
    <col min="3081" max="3083" width="4.6640625" style="463" customWidth="1"/>
    <col min="3084" max="3084" width="11.5546875" style="463"/>
    <col min="3085" max="3085" width="13.33203125" style="463" bestFit="1" customWidth="1"/>
    <col min="3086" max="3329" width="11.5546875" style="463"/>
    <col min="3330" max="3330" width="7.6640625" style="463" customWidth="1"/>
    <col min="3331" max="3331" width="17" style="463" customWidth="1"/>
    <col min="3332" max="3332" width="24.33203125" style="463" customWidth="1"/>
    <col min="3333" max="3333" width="9" style="463" customWidth="1"/>
    <col min="3334" max="3334" width="11.109375" style="463" customWidth="1"/>
    <col min="3335" max="3336" width="13.44140625" style="463" customWidth="1"/>
    <col min="3337" max="3339" width="4.6640625" style="463" customWidth="1"/>
    <col min="3340" max="3340" width="11.5546875" style="463"/>
    <col min="3341" max="3341" width="13.33203125" style="463" bestFit="1" customWidth="1"/>
    <col min="3342" max="3585" width="11.5546875" style="463"/>
    <col min="3586" max="3586" width="7.6640625" style="463" customWidth="1"/>
    <col min="3587" max="3587" width="17" style="463" customWidth="1"/>
    <col min="3588" max="3588" width="24.33203125" style="463" customWidth="1"/>
    <col min="3589" max="3589" width="9" style="463" customWidth="1"/>
    <col min="3590" max="3590" width="11.109375" style="463" customWidth="1"/>
    <col min="3591" max="3592" width="13.44140625" style="463" customWidth="1"/>
    <col min="3593" max="3595" width="4.6640625" style="463" customWidth="1"/>
    <col min="3596" max="3596" width="11.5546875" style="463"/>
    <col min="3597" max="3597" width="13.33203125" style="463" bestFit="1" customWidth="1"/>
    <col min="3598" max="3841" width="11.5546875" style="463"/>
    <col min="3842" max="3842" width="7.6640625" style="463" customWidth="1"/>
    <col min="3843" max="3843" width="17" style="463" customWidth="1"/>
    <col min="3844" max="3844" width="24.33203125" style="463" customWidth="1"/>
    <col min="3845" max="3845" width="9" style="463" customWidth="1"/>
    <col min="3846" max="3846" width="11.109375" style="463" customWidth="1"/>
    <col min="3847" max="3848" width="13.44140625" style="463" customWidth="1"/>
    <col min="3849" max="3851" width="4.6640625" style="463" customWidth="1"/>
    <col min="3852" max="3852" width="11.5546875" style="463"/>
    <col min="3853" max="3853" width="13.33203125" style="463" bestFit="1" customWidth="1"/>
    <col min="3854" max="4097" width="11.5546875" style="463"/>
    <col min="4098" max="4098" width="7.6640625" style="463" customWidth="1"/>
    <col min="4099" max="4099" width="17" style="463" customWidth="1"/>
    <col min="4100" max="4100" width="24.33203125" style="463" customWidth="1"/>
    <col min="4101" max="4101" width="9" style="463" customWidth="1"/>
    <col min="4102" max="4102" width="11.109375" style="463" customWidth="1"/>
    <col min="4103" max="4104" width="13.44140625" style="463" customWidth="1"/>
    <col min="4105" max="4107" width="4.6640625" style="463" customWidth="1"/>
    <col min="4108" max="4108" width="11.5546875" style="463"/>
    <col min="4109" max="4109" width="13.33203125" style="463" bestFit="1" customWidth="1"/>
    <col min="4110" max="4353" width="11.5546875" style="463"/>
    <col min="4354" max="4354" width="7.6640625" style="463" customWidth="1"/>
    <col min="4355" max="4355" width="17" style="463" customWidth="1"/>
    <col min="4356" max="4356" width="24.33203125" style="463" customWidth="1"/>
    <col min="4357" max="4357" width="9" style="463" customWidth="1"/>
    <col min="4358" max="4358" width="11.109375" style="463" customWidth="1"/>
    <col min="4359" max="4360" width="13.44140625" style="463" customWidth="1"/>
    <col min="4361" max="4363" width="4.6640625" style="463" customWidth="1"/>
    <col min="4364" max="4364" width="11.5546875" style="463"/>
    <col min="4365" max="4365" width="13.33203125" style="463" bestFit="1" customWidth="1"/>
    <col min="4366" max="4609" width="11.5546875" style="463"/>
    <col min="4610" max="4610" width="7.6640625" style="463" customWidth="1"/>
    <col min="4611" max="4611" width="17" style="463" customWidth="1"/>
    <col min="4612" max="4612" width="24.33203125" style="463" customWidth="1"/>
    <col min="4613" max="4613" width="9" style="463" customWidth="1"/>
    <col min="4614" max="4614" width="11.109375" style="463" customWidth="1"/>
    <col min="4615" max="4616" width="13.44140625" style="463" customWidth="1"/>
    <col min="4617" max="4619" width="4.6640625" style="463" customWidth="1"/>
    <col min="4620" max="4620" width="11.5546875" style="463"/>
    <col min="4621" max="4621" width="13.33203125" style="463" bestFit="1" customWidth="1"/>
    <col min="4622" max="4865" width="11.5546875" style="463"/>
    <col min="4866" max="4866" width="7.6640625" style="463" customWidth="1"/>
    <col min="4867" max="4867" width="17" style="463" customWidth="1"/>
    <col min="4868" max="4868" width="24.33203125" style="463" customWidth="1"/>
    <col min="4869" max="4869" width="9" style="463" customWidth="1"/>
    <col min="4870" max="4870" width="11.109375" style="463" customWidth="1"/>
    <col min="4871" max="4872" width="13.44140625" style="463" customWidth="1"/>
    <col min="4873" max="4875" width="4.6640625" style="463" customWidth="1"/>
    <col min="4876" max="4876" width="11.5546875" style="463"/>
    <col min="4877" max="4877" width="13.33203125" style="463" bestFit="1" customWidth="1"/>
    <col min="4878" max="5121" width="11.5546875" style="463"/>
    <col min="5122" max="5122" width="7.6640625" style="463" customWidth="1"/>
    <col min="5123" max="5123" width="17" style="463" customWidth="1"/>
    <col min="5124" max="5124" width="24.33203125" style="463" customWidth="1"/>
    <col min="5125" max="5125" width="9" style="463" customWidth="1"/>
    <col min="5126" max="5126" width="11.109375" style="463" customWidth="1"/>
    <col min="5127" max="5128" width="13.44140625" style="463" customWidth="1"/>
    <col min="5129" max="5131" width="4.6640625" style="463" customWidth="1"/>
    <col min="5132" max="5132" width="11.5546875" style="463"/>
    <col min="5133" max="5133" width="13.33203125" style="463" bestFit="1" customWidth="1"/>
    <col min="5134" max="5377" width="11.5546875" style="463"/>
    <col min="5378" max="5378" width="7.6640625" style="463" customWidth="1"/>
    <col min="5379" max="5379" width="17" style="463" customWidth="1"/>
    <col min="5380" max="5380" width="24.33203125" style="463" customWidth="1"/>
    <col min="5381" max="5381" width="9" style="463" customWidth="1"/>
    <col min="5382" max="5382" width="11.109375" style="463" customWidth="1"/>
    <col min="5383" max="5384" width="13.44140625" style="463" customWidth="1"/>
    <col min="5385" max="5387" width="4.6640625" style="463" customWidth="1"/>
    <col min="5388" max="5388" width="11.5546875" style="463"/>
    <col min="5389" max="5389" width="13.33203125" style="463" bestFit="1" customWidth="1"/>
    <col min="5390" max="5633" width="11.5546875" style="463"/>
    <col min="5634" max="5634" width="7.6640625" style="463" customWidth="1"/>
    <col min="5635" max="5635" width="17" style="463" customWidth="1"/>
    <col min="5636" max="5636" width="24.33203125" style="463" customWidth="1"/>
    <col min="5637" max="5637" width="9" style="463" customWidth="1"/>
    <col min="5638" max="5638" width="11.109375" style="463" customWidth="1"/>
    <col min="5639" max="5640" width="13.44140625" style="463" customWidth="1"/>
    <col min="5641" max="5643" width="4.6640625" style="463" customWidth="1"/>
    <col min="5644" max="5644" width="11.5546875" style="463"/>
    <col min="5645" max="5645" width="13.33203125" style="463" bestFit="1" customWidth="1"/>
    <col min="5646" max="5889" width="11.5546875" style="463"/>
    <col min="5890" max="5890" width="7.6640625" style="463" customWidth="1"/>
    <col min="5891" max="5891" width="17" style="463" customWidth="1"/>
    <col min="5892" max="5892" width="24.33203125" style="463" customWidth="1"/>
    <col min="5893" max="5893" width="9" style="463" customWidth="1"/>
    <col min="5894" max="5894" width="11.109375" style="463" customWidth="1"/>
    <col min="5895" max="5896" width="13.44140625" style="463" customWidth="1"/>
    <col min="5897" max="5899" width="4.6640625" style="463" customWidth="1"/>
    <col min="5900" max="5900" width="11.5546875" style="463"/>
    <col min="5901" max="5901" width="13.33203125" style="463" bestFit="1" customWidth="1"/>
    <col min="5902" max="6145" width="11.5546875" style="463"/>
    <col min="6146" max="6146" width="7.6640625" style="463" customWidth="1"/>
    <col min="6147" max="6147" width="17" style="463" customWidth="1"/>
    <col min="6148" max="6148" width="24.33203125" style="463" customWidth="1"/>
    <col min="6149" max="6149" width="9" style="463" customWidth="1"/>
    <col min="6150" max="6150" width="11.109375" style="463" customWidth="1"/>
    <col min="6151" max="6152" width="13.44140625" style="463" customWidth="1"/>
    <col min="6153" max="6155" width="4.6640625" style="463" customWidth="1"/>
    <col min="6156" max="6156" width="11.5546875" style="463"/>
    <col min="6157" max="6157" width="13.33203125" style="463" bestFit="1" customWidth="1"/>
    <col min="6158" max="6401" width="11.5546875" style="463"/>
    <col min="6402" max="6402" width="7.6640625" style="463" customWidth="1"/>
    <col min="6403" max="6403" width="17" style="463" customWidth="1"/>
    <col min="6404" max="6404" width="24.33203125" style="463" customWidth="1"/>
    <col min="6405" max="6405" width="9" style="463" customWidth="1"/>
    <col min="6406" max="6406" width="11.109375" style="463" customWidth="1"/>
    <col min="6407" max="6408" width="13.44140625" style="463" customWidth="1"/>
    <col min="6409" max="6411" width="4.6640625" style="463" customWidth="1"/>
    <col min="6412" max="6412" width="11.5546875" style="463"/>
    <col min="6413" max="6413" width="13.33203125" style="463" bestFit="1" customWidth="1"/>
    <col min="6414" max="6657" width="11.5546875" style="463"/>
    <col min="6658" max="6658" width="7.6640625" style="463" customWidth="1"/>
    <col min="6659" max="6659" width="17" style="463" customWidth="1"/>
    <col min="6660" max="6660" width="24.33203125" style="463" customWidth="1"/>
    <col min="6661" max="6661" width="9" style="463" customWidth="1"/>
    <col min="6662" max="6662" width="11.109375" style="463" customWidth="1"/>
    <col min="6663" max="6664" width="13.44140625" style="463" customWidth="1"/>
    <col min="6665" max="6667" width="4.6640625" style="463" customWidth="1"/>
    <col min="6668" max="6668" width="11.5546875" style="463"/>
    <col min="6669" max="6669" width="13.33203125" style="463" bestFit="1" customWidth="1"/>
    <col min="6670" max="6913" width="11.5546875" style="463"/>
    <col min="6914" max="6914" width="7.6640625" style="463" customWidth="1"/>
    <col min="6915" max="6915" width="17" style="463" customWidth="1"/>
    <col min="6916" max="6916" width="24.33203125" style="463" customWidth="1"/>
    <col min="6917" max="6917" width="9" style="463" customWidth="1"/>
    <col min="6918" max="6918" width="11.109375" style="463" customWidth="1"/>
    <col min="6919" max="6920" width="13.44140625" style="463" customWidth="1"/>
    <col min="6921" max="6923" width="4.6640625" style="463" customWidth="1"/>
    <col min="6924" max="6924" width="11.5546875" style="463"/>
    <col min="6925" max="6925" width="13.33203125" style="463" bestFit="1" customWidth="1"/>
    <col min="6926" max="7169" width="11.5546875" style="463"/>
    <col min="7170" max="7170" width="7.6640625" style="463" customWidth="1"/>
    <col min="7171" max="7171" width="17" style="463" customWidth="1"/>
    <col min="7172" max="7172" width="24.33203125" style="463" customWidth="1"/>
    <col min="7173" max="7173" width="9" style="463" customWidth="1"/>
    <col min="7174" max="7174" width="11.109375" style="463" customWidth="1"/>
    <col min="7175" max="7176" width="13.44140625" style="463" customWidth="1"/>
    <col min="7177" max="7179" width="4.6640625" style="463" customWidth="1"/>
    <col min="7180" max="7180" width="11.5546875" style="463"/>
    <col min="7181" max="7181" width="13.33203125" style="463" bestFit="1" customWidth="1"/>
    <col min="7182" max="7425" width="11.5546875" style="463"/>
    <col min="7426" max="7426" width="7.6640625" style="463" customWidth="1"/>
    <col min="7427" max="7427" width="17" style="463" customWidth="1"/>
    <col min="7428" max="7428" width="24.33203125" style="463" customWidth="1"/>
    <col min="7429" max="7429" width="9" style="463" customWidth="1"/>
    <col min="7430" max="7430" width="11.109375" style="463" customWidth="1"/>
    <col min="7431" max="7432" width="13.44140625" style="463" customWidth="1"/>
    <col min="7433" max="7435" width="4.6640625" style="463" customWidth="1"/>
    <col min="7436" max="7436" width="11.5546875" style="463"/>
    <col min="7437" max="7437" width="13.33203125" style="463" bestFit="1" customWidth="1"/>
    <col min="7438" max="7681" width="11.5546875" style="463"/>
    <col min="7682" max="7682" width="7.6640625" style="463" customWidth="1"/>
    <col min="7683" max="7683" width="17" style="463" customWidth="1"/>
    <col min="7684" max="7684" width="24.33203125" style="463" customWidth="1"/>
    <col min="7685" max="7685" width="9" style="463" customWidth="1"/>
    <col min="7686" max="7686" width="11.109375" style="463" customWidth="1"/>
    <col min="7687" max="7688" width="13.44140625" style="463" customWidth="1"/>
    <col min="7689" max="7691" width="4.6640625" style="463" customWidth="1"/>
    <col min="7692" max="7692" width="11.5546875" style="463"/>
    <col min="7693" max="7693" width="13.33203125" style="463" bestFit="1" customWidth="1"/>
    <col min="7694" max="7937" width="11.5546875" style="463"/>
    <col min="7938" max="7938" width="7.6640625" style="463" customWidth="1"/>
    <col min="7939" max="7939" width="17" style="463" customWidth="1"/>
    <col min="7940" max="7940" width="24.33203125" style="463" customWidth="1"/>
    <col min="7941" max="7941" width="9" style="463" customWidth="1"/>
    <col min="7942" max="7942" width="11.109375" style="463" customWidth="1"/>
    <col min="7943" max="7944" width="13.44140625" style="463" customWidth="1"/>
    <col min="7945" max="7947" width="4.6640625" style="463" customWidth="1"/>
    <col min="7948" max="7948" width="11.5546875" style="463"/>
    <col min="7949" max="7949" width="13.33203125" style="463" bestFit="1" customWidth="1"/>
    <col min="7950" max="8193" width="11.5546875" style="463"/>
    <col min="8194" max="8194" width="7.6640625" style="463" customWidth="1"/>
    <col min="8195" max="8195" width="17" style="463" customWidth="1"/>
    <col min="8196" max="8196" width="24.33203125" style="463" customWidth="1"/>
    <col min="8197" max="8197" width="9" style="463" customWidth="1"/>
    <col min="8198" max="8198" width="11.109375" style="463" customWidth="1"/>
    <col min="8199" max="8200" width="13.44140625" style="463" customWidth="1"/>
    <col min="8201" max="8203" width="4.6640625" style="463" customWidth="1"/>
    <col min="8204" max="8204" width="11.5546875" style="463"/>
    <col min="8205" max="8205" width="13.33203125" style="463" bestFit="1" customWidth="1"/>
    <col min="8206" max="8449" width="11.5546875" style="463"/>
    <col min="8450" max="8450" width="7.6640625" style="463" customWidth="1"/>
    <col min="8451" max="8451" width="17" style="463" customWidth="1"/>
    <col min="8452" max="8452" width="24.33203125" style="463" customWidth="1"/>
    <col min="8453" max="8453" width="9" style="463" customWidth="1"/>
    <col min="8454" max="8454" width="11.109375" style="463" customWidth="1"/>
    <col min="8455" max="8456" width="13.44140625" style="463" customWidth="1"/>
    <col min="8457" max="8459" width="4.6640625" style="463" customWidth="1"/>
    <col min="8460" max="8460" width="11.5546875" style="463"/>
    <col min="8461" max="8461" width="13.33203125" style="463" bestFit="1" customWidth="1"/>
    <col min="8462" max="8705" width="11.5546875" style="463"/>
    <col min="8706" max="8706" width="7.6640625" style="463" customWidth="1"/>
    <col min="8707" max="8707" width="17" style="463" customWidth="1"/>
    <col min="8708" max="8708" width="24.33203125" style="463" customWidth="1"/>
    <col min="8709" max="8709" width="9" style="463" customWidth="1"/>
    <col min="8710" max="8710" width="11.109375" style="463" customWidth="1"/>
    <col min="8711" max="8712" width="13.44140625" style="463" customWidth="1"/>
    <col min="8713" max="8715" width="4.6640625" style="463" customWidth="1"/>
    <col min="8716" max="8716" width="11.5546875" style="463"/>
    <col min="8717" max="8717" width="13.33203125" style="463" bestFit="1" customWidth="1"/>
    <col min="8718" max="8961" width="11.5546875" style="463"/>
    <col min="8962" max="8962" width="7.6640625" style="463" customWidth="1"/>
    <col min="8963" max="8963" width="17" style="463" customWidth="1"/>
    <col min="8964" max="8964" width="24.33203125" style="463" customWidth="1"/>
    <col min="8965" max="8965" width="9" style="463" customWidth="1"/>
    <col min="8966" max="8966" width="11.109375" style="463" customWidth="1"/>
    <col min="8967" max="8968" width="13.44140625" style="463" customWidth="1"/>
    <col min="8969" max="8971" width="4.6640625" style="463" customWidth="1"/>
    <col min="8972" max="8972" width="11.5546875" style="463"/>
    <col min="8973" max="8973" width="13.33203125" style="463" bestFit="1" customWidth="1"/>
    <col min="8974" max="9217" width="11.5546875" style="463"/>
    <col min="9218" max="9218" width="7.6640625" style="463" customWidth="1"/>
    <col min="9219" max="9219" width="17" style="463" customWidth="1"/>
    <col min="9220" max="9220" width="24.33203125" style="463" customWidth="1"/>
    <col min="9221" max="9221" width="9" style="463" customWidth="1"/>
    <col min="9222" max="9222" width="11.109375" style="463" customWidth="1"/>
    <col min="9223" max="9224" width="13.44140625" style="463" customWidth="1"/>
    <col min="9225" max="9227" width="4.6640625" style="463" customWidth="1"/>
    <col min="9228" max="9228" width="11.5546875" style="463"/>
    <col min="9229" max="9229" width="13.33203125" style="463" bestFit="1" customWidth="1"/>
    <col min="9230" max="9473" width="11.5546875" style="463"/>
    <col min="9474" max="9474" width="7.6640625" style="463" customWidth="1"/>
    <col min="9475" max="9475" width="17" style="463" customWidth="1"/>
    <col min="9476" max="9476" width="24.33203125" style="463" customWidth="1"/>
    <col min="9477" max="9477" width="9" style="463" customWidth="1"/>
    <col min="9478" max="9478" width="11.109375" style="463" customWidth="1"/>
    <col min="9479" max="9480" width="13.44140625" style="463" customWidth="1"/>
    <col min="9481" max="9483" width="4.6640625" style="463" customWidth="1"/>
    <col min="9484" max="9484" width="11.5546875" style="463"/>
    <col min="9485" max="9485" width="13.33203125" style="463" bestFit="1" customWidth="1"/>
    <col min="9486" max="9729" width="11.5546875" style="463"/>
    <col min="9730" max="9730" width="7.6640625" style="463" customWidth="1"/>
    <col min="9731" max="9731" width="17" style="463" customWidth="1"/>
    <col min="9732" max="9732" width="24.33203125" style="463" customWidth="1"/>
    <col min="9733" max="9733" width="9" style="463" customWidth="1"/>
    <col min="9734" max="9734" width="11.109375" style="463" customWidth="1"/>
    <col min="9735" max="9736" width="13.44140625" style="463" customWidth="1"/>
    <col min="9737" max="9739" width="4.6640625" style="463" customWidth="1"/>
    <col min="9740" max="9740" width="11.5546875" style="463"/>
    <col min="9741" max="9741" width="13.33203125" style="463" bestFit="1" customWidth="1"/>
    <col min="9742" max="9985" width="11.5546875" style="463"/>
    <col min="9986" max="9986" width="7.6640625" style="463" customWidth="1"/>
    <col min="9987" max="9987" width="17" style="463" customWidth="1"/>
    <col min="9988" max="9988" width="24.33203125" style="463" customWidth="1"/>
    <col min="9989" max="9989" width="9" style="463" customWidth="1"/>
    <col min="9990" max="9990" width="11.109375" style="463" customWidth="1"/>
    <col min="9991" max="9992" width="13.44140625" style="463" customWidth="1"/>
    <col min="9993" max="9995" width="4.6640625" style="463" customWidth="1"/>
    <col min="9996" max="9996" width="11.5546875" style="463"/>
    <col min="9997" max="9997" width="13.33203125" style="463" bestFit="1" customWidth="1"/>
    <col min="9998" max="10241" width="11.5546875" style="463"/>
    <col min="10242" max="10242" width="7.6640625" style="463" customWidth="1"/>
    <col min="10243" max="10243" width="17" style="463" customWidth="1"/>
    <col min="10244" max="10244" width="24.33203125" style="463" customWidth="1"/>
    <col min="10245" max="10245" width="9" style="463" customWidth="1"/>
    <col min="10246" max="10246" width="11.109375" style="463" customWidth="1"/>
    <col min="10247" max="10248" width="13.44140625" style="463" customWidth="1"/>
    <col min="10249" max="10251" width="4.6640625" style="463" customWidth="1"/>
    <col min="10252" max="10252" width="11.5546875" style="463"/>
    <col min="10253" max="10253" width="13.33203125" style="463" bestFit="1" customWidth="1"/>
    <col min="10254" max="10497" width="11.5546875" style="463"/>
    <col min="10498" max="10498" width="7.6640625" style="463" customWidth="1"/>
    <col min="10499" max="10499" width="17" style="463" customWidth="1"/>
    <col min="10500" max="10500" width="24.33203125" style="463" customWidth="1"/>
    <col min="10501" max="10501" width="9" style="463" customWidth="1"/>
    <col min="10502" max="10502" width="11.109375" style="463" customWidth="1"/>
    <col min="10503" max="10504" width="13.44140625" style="463" customWidth="1"/>
    <col min="10505" max="10507" width="4.6640625" style="463" customWidth="1"/>
    <col min="10508" max="10508" width="11.5546875" style="463"/>
    <col min="10509" max="10509" width="13.33203125" style="463" bestFit="1" customWidth="1"/>
    <col min="10510" max="10753" width="11.5546875" style="463"/>
    <col min="10754" max="10754" width="7.6640625" style="463" customWidth="1"/>
    <col min="10755" max="10755" width="17" style="463" customWidth="1"/>
    <col min="10756" max="10756" width="24.33203125" style="463" customWidth="1"/>
    <col min="10757" max="10757" width="9" style="463" customWidth="1"/>
    <col min="10758" max="10758" width="11.109375" style="463" customWidth="1"/>
    <col min="10759" max="10760" width="13.44140625" style="463" customWidth="1"/>
    <col min="10761" max="10763" width="4.6640625" style="463" customWidth="1"/>
    <col min="10764" max="10764" width="11.5546875" style="463"/>
    <col min="10765" max="10765" width="13.33203125" style="463" bestFit="1" customWidth="1"/>
    <col min="10766" max="11009" width="11.5546875" style="463"/>
    <col min="11010" max="11010" width="7.6640625" style="463" customWidth="1"/>
    <col min="11011" max="11011" width="17" style="463" customWidth="1"/>
    <col min="11012" max="11012" width="24.33203125" style="463" customWidth="1"/>
    <col min="11013" max="11013" width="9" style="463" customWidth="1"/>
    <col min="11014" max="11014" width="11.109375" style="463" customWidth="1"/>
    <col min="11015" max="11016" width="13.44140625" style="463" customWidth="1"/>
    <col min="11017" max="11019" width="4.6640625" style="463" customWidth="1"/>
    <col min="11020" max="11020" width="11.5546875" style="463"/>
    <col min="11021" max="11021" width="13.33203125" style="463" bestFit="1" customWidth="1"/>
    <col min="11022" max="11265" width="11.5546875" style="463"/>
    <col min="11266" max="11266" width="7.6640625" style="463" customWidth="1"/>
    <col min="11267" max="11267" width="17" style="463" customWidth="1"/>
    <col min="11268" max="11268" width="24.33203125" style="463" customWidth="1"/>
    <col min="11269" max="11269" width="9" style="463" customWidth="1"/>
    <col min="11270" max="11270" width="11.109375" style="463" customWidth="1"/>
    <col min="11271" max="11272" width="13.44140625" style="463" customWidth="1"/>
    <col min="11273" max="11275" width="4.6640625" style="463" customWidth="1"/>
    <col min="11276" max="11276" width="11.5546875" style="463"/>
    <col min="11277" max="11277" width="13.33203125" style="463" bestFit="1" customWidth="1"/>
    <col min="11278" max="11521" width="11.5546875" style="463"/>
    <col min="11522" max="11522" width="7.6640625" style="463" customWidth="1"/>
    <col min="11523" max="11523" width="17" style="463" customWidth="1"/>
    <col min="11524" max="11524" width="24.33203125" style="463" customWidth="1"/>
    <col min="11525" max="11525" width="9" style="463" customWidth="1"/>
    <col min="11526" max="11526" width="11.109375" style="463" customWidth="1"/>
    <col min="11527" max="11528" width="13.44140625" style="463" customWidth="1"/>
    <col min="11529" max="11531" width="4.6640625" style="463" customWidth="1"/>
    <col min="11532" max="11532" width="11.5546875" style="463"/>
    <col min="11533" max="11533" width="13.33203125" style="463" bestFit="1" customWidth="1"/>
    <col min="11534" max="11777" width="11.5546875" style="463"/>
    <col min="11778" max="11778" width="7.6640625" style="463" customWidth="1"/>
    <col min="11779" max="11779" width="17" style="463" customWidth="1"/>
    <col min="11780" max="11780" width="24.33203125" style="463" customWidth="1"/>
    <col min="11781" max="11781" width="9" style="463" customWidth="1"/>
    <col min="11782" max="11782" width="11.109375" style="463" customWidth="1"/>
    <col min="11783" max="11784" width="13.44140625" style="463" customWidth="1"/>
    <col min="11785" max="11787" width="4.6640625" style="463" customWidth="1"/>
    <col min="11788" max="11788" width="11.5546875" style="463"/>
    <col min="11789" max="11789" width="13.33203125" style="463" bestFit="1" customWidth="1"/>
    <col min="11790" max="12033" width="11.5546875" style="463"/>
    <col min="12034" max="12034" width="7.6640625" style="463" customWidth="1"/>
    <col min="12035" max="12035" width="17" style="463" customWidth="1"/>
    <col min="12036" max="12036" width="24.33203125" style="463" customWidth="1"/>
    <col min="12037" max="12037" width="9" style="463" customWidth="1"/>
    <col min="12038" max="12038" width="11.109375" style="463" customWidth="1"/>
    <col min="12039" max="12040" width="13.44140625" style="463" customWidth="1"/>
    <col min="12041" max="12043" width="4.6640625" style="463" customWidth="1"/>
    <col min="12044" max="12044" width="11.5546875" style="463"/>
    <col min="12045" max="12045" width="13.33203125" style="463" bestFit="1" customWidth="1"/>
    <col min="12046" max="12289" width="11.5546875" style="463"/>
    <col min="12290" max="12290" width="7.6640625" style="463" customWidth="1"/>
    <col min="12291" max="12291" width="17" style="463" customWidth="1"/>
    <col min="12292" max="12292" width="24.33203125" style="463" customWidth="1"/>
    <col min="12293" max="12293" width="9" style="463" customWidth="1"/>
    <col min="12294" max="12294" width="11.109375" style="463" customWidth="1"/>
    <col min="12295" max="12296" width="13.44140625" style="463" customWidth="1"/>
    <col min="12297" max="12299" width="4.6640625" style="463" customWidth="1"/>
    <col min="12300" max="12300" width="11.5546875" style="463"/>
    <col min="12301" max="12301" width="13.33203125" style="463" bestFit="1" customWidth="1"/>
    <col min="12302" max="12545" width="11.5546875" style="463"/>
    <col min="12546" max="12546" width="7.6640625" style="463" customWidth="1"/>
    <col min="12547" max="12547" width="17" style="463" customWidth="1"/>
    <col min="12548" max="12548" width="24.33203125" style="463" customWidth="1"/>
    <col min="12549" max="12549" width="9" style="463" customWidth="1"/>
    <col min="12550" max="12550" width="11.109375" style="463" customWidth="1"/>
    <col min="12551" max="12552" width="13.44140625" style="463" customWidth="1"/>
    <col min="12553" max="12555" width="4.6640625" style="463" customWidth="1"/>
    <col min="12556" max="12556" width="11.5546875" style="463"/>
    <col min="12557" max="12557" width="13.33203125" style="463" bestFit="1" customWidth="1"/>
    <col min="12558" max="12801" width="11.5546875" style="463"/>
    <col min="12802" max="12802" width="7.6640625" style="463" customWidth="1"/>
    <col min="12803" max="12803" width="17" style="463" customWidth="1"/>
    <col min="12804" max="12804" width="24.33203125" style="463" customWidth="1"/>
    <col min="12805" max="12805" width="9" style="463" customWidth="1"/>
    <col min="12806" max="12806" width="11.109375" style="463" customWidth="1"/>
    <col min="12807" max="12808" width="13.44140625" style="463" customWidth="1"/>
    <col min="12809" max="12811" width="4.6640625" style="463" customWidth="1"/>
    <col min="12812" max="12812" width="11.5546875" style="463"/>
    <col min="12813" max="12813" width="13.33203125" style="463" bestFit="1" customWidth="1"/>
    <col min="12814" max="13057" width="11.5546875" style="463"/>
    <col min="13058" max="13058" width="7.6640625" style="463" customWidth="1"/>
    <col min="13059" max="13059" width="17" style="463" customWidth="1"/>
    <col min="13060" max="13060" width="24.33203125" style="463" customWidth="1"/>
    <col min="13061" max="13061" width="9" style="463" customWidth="1"/>
    <col min="13062" max="13062" width="11.109375" style="463" customWidth="1"/>
    <col min="13063" max="13064" width="13.44140625" style="463" customWidth="1"/>
    <col min="13065" max="13067" width="4.6640625" style="463" customWidth="1"/>
    <col min="13068" max="13068" width="11.5546875" style="463"/>
    <col min="13069" max="13069" width="13.33203125" style="463" bestFit="1" customWidth="1"/>
    <col min="13070" max="13313" width="11.5546875" style="463"/>
    <col min="13314" max="13314" width="7.6640625" style="463" customWidth="1"/>
    <col min="13315" max="13315" width="17" style="463" customWidth="1"/>
    <col min="13316" max="13316" width="24.33203125" style="463" customWidth="1"/>
    <col min="13317" max="13317" width="9" style="463" customWidth="1"/>
    <col min="13318" max="13318" width="11.109375" style="463" customWidth="1"/>
    <col min="13319" max="13320" width="13.44140625" style="463" customWidth="1"/>
    <col min="13321" max="13323" width="4.6640625" style="463" customWidth="1"/>
    <col min="13324" max="13324" width="11.5546875" style="463"/>
    <col min="13325" max="13325" width="13.33203125" style="463" bestFit="1" customWidth="1"/>
    <col min="13326" max="13569" width="11.5546875" style="463"/>
    <col min="13570" max="13570" width="7.6640625" style="463" customWidth="1"/>
    <col min="13571" max="13571" width="17" style="463" customWidth="1"/>
    <col min="13572" max="13572" width="24.33203125" style="463" customWidth="1"/>
    <col min="13573" max="13573" width="9" style="463" customWidth="1"/>
    <col min="13574" max="13574" width="11.109375" style="463" customWidth="1"/>
    <col min="13575" max="13576" width="13.44140625" style="463" customWidth="1"/>
    <col min="13577" max="13579" width="4.6640625" style="463" customWidth="1"/>
    <col min="13580" max="13580" width="11.5546875" style="463"/>
    <col min="13581" max="13581" width="13.33203125" style="463" bestFit="1" customWidth="1"/>
    <col min="13582" max="13825" width="11.5546875" style="463"/>
    <col min="13826" max="13826" width="7.6640625" style="463" customWidth="1"/>
    <col min="13827" max="13827" width="17" style="463" customWidth="1"/>
    <col min="13828" max="13828" width="24.33203125" style="463" customWidth="1"/>
    <col min="13829" max="13829" width="9" style="463" customWidth="1"/>
    <col min="13830" max="13830" width="11.109375" style="463" customWidth="1"/>
    <col min="13831" max="13832" width="13.44140625" style="463" customWidth="1"/>
    <col min="13833" max="13835" width="4.6640625" style="463" customWidth="1"/>
    <col min="13836" max="13836" width="11.5546875" style="463"/>
    <col min="13837" max="13837" width="13.33203125" style="463" bestFit="1" customWidth="1"/>
    <col min="13838" max="14081" width="11.5546875" style="463"/>
    <col min="14082" max="14082" width="7.6640625" style="463" customWidth="1"/>
    <col min="14083" max="14083" width="17" style="463" customWidth="1"/>
    <col min="14084" max="14084" width="24.33203125" style="463" customWidth="1"/>
    <col min="14085" max="14085" width="9" style="463" customWidth="1"/>
    <col min="14086" max="14086" width="11.109375" style="463" customWidth="1"/>
    <col min="14087" max="14088" width="13.44140625" style="463" customWidth="1"/>
    <col min="14089" max="14091" width="4.6640625" style="463" customWidth="1"/>
    <col min="14092" max="14092" width="11.5546875" style="463"/>
    <col min="14093" max="14093" width="13.33203125" style="463" bestFit="1" customWidth="1"/>
    <col min="14094" max="14337" width="11.5546875" style="463"/>
    <col min="14338" max="14338" width="7.6640625" style="463" customWidth="1"/>
    <col min="14339" max="14339" width="17" style="463" customWidth="1"/>
    <col min="14340" max="14340" width="24.33203125" style="463" customWidth="1"/>
    <col min="14341" max="14341" width="9" style="463" customWidth="1"/>
    <col min="14342" max="14342" width="11.109375" style="463" customWidth="1"/>
    <col min="14343" max="14344" width="13.44140625" style="463" customWidth="1"/>
    <col min="14345" max="14347" width="4.6640625" style="463" customWidth="1"/>
    <col min="14348" max="14348" width="11.5546875" style="463"/>
    <col min="14349" max="14349" width="13.33203125" style="463" bestFit="1" customWidth="1"/>
    <col min="14350" max="14593" width="11.5546875" style="463"/>
    <col min="14594" max="14594" width="7.6640625" style="463" customWidth="1"/>
    <col min="14595" max="14595" width="17" style="463" customWidth="1"/>
    <col min="14596" max="14596" width="24.33203125" style="463" customWidth="1"/>
    <col min="14597" max="14597" width="9" style="463" customWidth="1"/>
    <col min="14598" max="14598" width="11.109375" style="463" customWidth="1"/>
    <col min="14599" max="14600" width="13.44140625" style="463" customWidth="1"/>
    <col min="14601" max="14603" width="4.6640625" style="463" customWidth="1"/>
    <col min="14604" max="14604" width="11.5546875" style="463"/>
    <col min="14605" max="14605" width="13.33203125" style="463" bestFit="1" customWidth="1"/>
    <col min="14606" max="14849" width="11.5546875" style="463"/>
    <col min="14850" max="14850" width="7.6640625" style="463" customWidth="1"/>
    <col min="14851" max="14851" width="17" style="463" customWidth="1"/>
    <col min="14852" max="14852" width="24.33203125" style="463" customWidth="1"/>
    <col min="14853" max="14853" width="9" style="463" customWidth="1"/>
    <col min="14854" max="14854" width="11.109375" style="463" customWidth="1"/>
    <col min="14855" max="14856" width="13.44140625" style="463" customWidth="1"/>
    <col min="14857" max="14859" width="4.6640625" style="463" customWidth="1"/>
    <col min="14860" max="14860" width="11.5546875" style="463"/>
    <col min="14861" max="14861" width="13.33203125" style="463" bestFit="1" customWidth="1"/>
    <col min="14862" max="15105" width="11.5546875" style="463"/>
    <col min="15106" max="15106" width="7.6640625" style="463" customWidth="1"/>
    <col min="15107" max="15107" width="17" style="463" customWidth="1"/>
    <col min="15108" max="15108" width="24.33203125" style="463" customWidth="1"/>
    <col min="15109" max="15109" width="9" style="463" customWidth="1"/>
    <col min="15110" max="15110" width="11.109375" style="463" customWidth="1"/>
    <col min="15111" max="15112" width="13.44140625" style="463" customWidth="1"/>
    <col min="15113" max="15115" width="4.6640625" style="463" customWidth="1"/>
    <col min="15116" max="15116" width="11.5546875" style="463"/>
    <col min="15117" max="15117" width="13.33203125" style="463" bestFit="1" customWidth="1"/>
    <col min="15118" max="15361" width="11.5546875" style="463"/>
    <col min="15362" max="15362" width="7.6640625" style="463" customWidth="1"/>
    <col min="15363" max="15363" width="17" style="463" customWidth="1"/>
    <col min="15364" max="15364" width="24.33203125" style="463" customWidth="1"/>
    <col min="15365" max="15365" width="9" style="463" customWidth="1"/>
    <col min="15366" max="15366" width="11.109375" style="463" customWidth="1"/>
    <col min="15367" max="15368" width="13.44140625" style="463" customWidth="1"/>
    <col min="15369" max="15371" width="4.6640625" style="463" customWidth="1"/>
    <col min="15372" max="15372" width="11.5546875" style="463"/>
    <col min="15373" max="15373" width="13.33203125" style="463" bestFit="1" customWidth="1"/>
    <col min="15374" max="15617" width="11.5546875" style="463"/>
    <col min="15618" max="15618" width="7.6640625" style="463" customWidth="1"/>
    <col min="15619" max="15619" width="17" style="463" customWidth="1"/>
    <col min="15620" max="15620" width="24.33203125" style="463" customWidth="1"/>
    <col min="15621" max="15621" width="9" style="463" customWidth="1"/>
    <col min="15622" max="15622" width="11.109375" style="463" customWidth="1"/>
    <col min="15623" max="15624" width="13.44140625" style="463" customWidth="1"/>
    <col min="15625" max="15627" width="4.6640625" style="463" customWidth="1"/>
    <col min="15628" max="15628" width="11.5546875" style="463"/>
    <col min="15629" max="15629" width="13.33203125" style="463" bestFit="1" customWidth="1"/>
    <col min="15630" max="15873" width="11.5546875" style="463"/>
    <col min="15874" max="15874" width="7.6640625" style="463" customWidth="1"/>
    <col min="15875" max="15875" width="17" style="463" customWidth="1"/>
    <col min="15876" max="15876" width="24.33203125" style="463" customWidth="1"/>
    <col min="15877" max="15877" width="9" style="463" customWidth="1"/>
    <col min="15878" max="15878" width="11.109375" style="463" customWidth="1"/>
    <col min="15879" max="15880" width="13.44140625" style="463" customWidth="1"/>
    <col min="15881" max="15883" width="4.6640625" style="463" customWidth="1"/>
    <col min="15884" max="15884" width="11.5546875" style="463"/>
    <col min="15885" max="15885" width="13.33203125" style="463" bestFit="1" customWidth="1"/>
    <col min="15886" max="16129" width="11.5546875" style="463"/>
    <col min="16130" max="16130" width="7.6640625" style="463" customWidth="1"/>
    <col min="16131" max="16131" width="17" style="463" customWidth="1"/>
    <col min="16132" max="16132" width="24.33203125" style="463" customWidth="1"/>
    <col min="16133" max="16133" width="9" style="463" customWidth="1"/>
    <col min="16134" max="16134" width="11.109375" style="463" customWidth="1"/>
    <col min="16135" max="16136" width="13.44140625" style="463" customWidth="1"/>
    <col min="16137" max="16139" width="4.6640625" style="463" customWidth="1"/>
    <col min="16140" max="16140" width="11.5546875" style="463"/>
    <col min="16141" max="16141" width="13.33203125" style="463" bestFit="1" customWidth="1"/>
    <col min="16142" max="16384" width="11.5546875" style="463"/>
  </cols>
  <sheetData>
    <row r="1" spans="1:13" s="459" customFormat="1" ht="15" customHeight="1" x14ac:dyDescent="0.25">
      <c r="A1" s="776"/>
      <c r="B1" s="776"/>
      <c r="C1" s="776"/>
      <c r="D1" s="776"/>
      <c r="E1" s="776"/>
      <c r="F1" s="776"/>
      <c r="G1" s="777"/>
      <c r="H1" s="778" t="s">
        <v>867</v>
      </c>
      <c r="I1" s="778"/>
      <c r="J1" s="778"/>
      <c r="K1" s="778"/>
    </row>
    <row r="2" spans="1:13" s="459" customFormat="1" ht="15" customHeight="1" x14ac:dyDescent="0.25">
      <c r="A2" s="779"/>
      <c r="B2" s="779"/>
      <c r="C2" s="746" t="s">
        <v>868</v>
      </c>
      <c r="D2" s="747"/>
      <c r="E2" s="747"/>
      <c r="F2" s="747"/>
      <c r="G2" s="748"/>
      <c r="H2" s="780" t="s">
        <v>869</v>
      </c>
      <c r="I2" s="780"/>
      <c r="J2" s="780"/>
      <c r="K2" s="780"/>
    </row>
    <row r="3" spans="1:13" s="459" customFormat="1" ht="15" customHeight="1" x14ac:dyDescent="0.25">
      <c r="A3" s="779"/>
      <c r="B3" s="779"/>
      <c r="C3" s="749"/>
      <c r="D3" s="750"/>
      <c r="E3" s="750"/>
      <c r="F3" s="750"/>
      <c r="G3" s="751"/>
      <c r="H3" s="780" t="s">
        <v>870</v>
      </c>
      <c r="I3" s="780"/>
      <c r="J3" s="780"/>
      <c r="K3" s="780"/>
    </row>
    <row r="4" spans="1:13" s="459" customFormat="1" ht="15" customHeight="1" x14ac:dyDescent="0.25">
      <c r="A4" s="779"/>
      <c r="B4" s="779"/>
      <c r="C4" s="749"/>
      <c r="D4" s="750"/>
      <c r="E4" s="750"/>
      <c r="F4" s="750"/>
      <c r="G4" s="751"/>
      <c r="H4" s="780" t="s">
        <v>871</v>
      </c>
      <c r="I4" s="780"/>
      <c r="J4" s="780"/>
      <c r="K4" s="780"/>
    </row>
    <row r="5" spans="1:13" s="459" customFormat="1" ht="15" customHeight="1" x14ac:dyDescent="0.25">
      <c r="A5" s="779"/>
      <c r="B5" s="779"/>
      <c r="C5" s="752"/>
      <c r="D5" s="753"/>
      <c r="E5" s="753"/>
      <c r="F5" s="753"/>
      <c r="G5" s="754"/>
      <c r="H5" s="780" t="s">
        <v>872</v>
      </c>
      <c r="I5" s="780"/>
      <c r="J5" s="780"/>
      <c r="K5" s="780"/>
    </row>
    <row r="6" spans="1:13" s="459" customFormat="1" ht="3" customHeight="1" x14ac:dyDescent="0.25">
      <c r="A6" s="791"/>
      <c r="B6" s="792"/>
      <c r="C6" s="792"/>
      <c r="D6" s="792"/>
      <c r="E6" s="792"/>
      <c r="F6" s="792"/>
      <c r="G6" s="792"/>
      <c r="H6" s="792"/>
      <c r="I6" s="792"/>
      <c r="J6" s="792"/>
      <c r="K6" s="793"/>
    </row>
    <row r="7" spans="1:13" s="459" customFormat="1" ht="12.75" customHeight="1" x14ac:dyDescent="0.25">
      <c r="A7" s="794" t="s">
        <v>873</v>
      </c>
      <c r="B7" s="794"/>
      <c r="C7" s="755"/>
      <c r="D7" s="756"/>
      <c r="E7" s="756"/>
      <c r="F7" s="756"/>
      <c r="G7" s="757"/>
      <c r="H7" s="795" t="s">
        <v>874</v>
      </c>
      <c r="I7" s="460" t="s">
        <v>875</v>
      </c>
      <c r="J7" s="460" t="s">
        <v>876</v>
      </c>
      <c r="K7" s="460" t="s">
        <v>877</v>
      </c>
    </row>
    <row r="8" spans="1:13" ht="42" customHeight="1" x14ac:dyDescent="0.25">
      <c r="A8" s="781" t="s">
        <v>878</v>
      </c>
      <c r="B8" s="781"/>
      <c r="C8" s="758" t="s">
        <v>880</v>
      </c>
      <c r="D8" s="759"/>
      <c r="E8" s="759"/>
      <c r="F8" s="759"/>
      <c r="G8" s="760"/>
      <c r="H8" s="795"/>
      <c r="I8" s="461">
        <v>2020</v>
      </c>
      <c r="J8" s="462">
        <v>7</v>
      </c>
      <c r="K8" s="462">
        <v>7</v>
      </c>
    </row>
    <row r="9" spans="1:13" ht="30" customHeight="1" x14ac:dyDescent="0.25">
      <c r="A9" s="781" t="s">
        <v>879</v>
      </c>
      <c r="B9" s="781"/>
      <c r="C9" s="761" t="s">
        <v>880</v>
      </c>
      <c r="D9" s="762"/>
      <c r="E9" s="762"/>
      <c r="F9" s="762"/>
      <c r="G9" s="762"/>
      <c r="H9" s="762"/>
      <c r="I9" s="762"/>
      <c r="J9" s="762"/>
      <c r="K9" s="763"/>
    </row>
    <row r="10" spans="1:13" ht="3" customHeight="1" x14ac:dyDescent="0.25">
      <c r="A10" s="758"/>
      <c r="B10" s="759"/>
      <c r="C10" s="759"/>
      <c r="D10" s="759"/>
      <c r="E10" s="759"/>
      <c r="F10" s="759"/>
      <c r="G10" s="759"/>
      <c r="H10" s="759"/>
      <c r="I10" s="759"/>
      <c r="J10" s="759"/>
      <c r="K10" s="760"/>
    </row>
    <row r="11" spans="1:13" ht="14.4" customHeight="1" x14ac:dyDescent="0.25">
      <c r="A11" s="464" t="s">
        <v>881</v>
      </c>
      <c r="B11" s="782" t="s">
        <v>882</v>
      </c>
      <c r="C11" s="783"/>
      <c r="D11" s="784"/>
      <c r="E11" s="464" t="s">
        <v>883</v>
      </c>
      <c r="F11" s="465" t="s">
        <v>17</v>
      </c>
      <c r="G11" s="466" t="s">
        <v>884</v>
      </c>
      <c r="H11" s="785" t="s">
        <v>885</v>
      </c>
      <c r="I11" s="786"/>
      <c r="J11" s="786"/>
      <c r="K11" s="787"/>
    </row>
    <row r="12" spans="1:13" x14ac:dyDescent="0.25">
      <c r="A12" s="788" t="s">
        <v>185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90"/>
    </row>
    <row r="13" spans="1:13" ht="15.6" x14ac:dyDescent="0.25">
      <c r="A13" s="43">
        <v>1.1000000000000001</v>
      </c>
      <c r="B13" s="802" t="s">
        <v>186</v>
      </c>
      <c r="C13" s="803"/>
      <c r="D13" s="804"/>
      <c r="E13" s="805"/>
      <c r="F13" s="806"/>
      <c r="G13" s="806"/>
      <c r="H13" s="806"/>
      <c r="I13" s="806"/>
      <c r="J13" s="806"/>
      <c r="K13" s="807"/>
    </row>
    <row r="14" spans="1:13" ht="27.75" customHeight="1" x14ac:dyDescent="0.25">
      <c r="A14" s="37" t="s">
        <v>328</v>
      </c>
      <c r="B14" s="796" t="s">
        <v>305</v>
      </c>
      <c r="C14" s="797"/>
      <c r="D14" s="798"/>
      <c r="E14" s="467" t="s">
        <v>5</v>
      </c>
      <c r="F14" s="468">
        <v>338.3</v>
      </c>
      <c r="G14" s="469">
        <f>+PRESUPUESTO!F10</f>
        <v>3336</v>
      </c>
      <c r="H14" s="799">
        <f t="shared" ref="H14:H22" si="0">ROUND(+F14*G14,0)</f>
        <v>1128569</v>
      </c>
      <c r="I14" s="800"/>
      <c r="J14" s="800"/>
      <c r="K14" s="801"/>
      <c r="M14" s="477"/>
    </row>
    <row r="15" spans="1:13" ht="30" customHeight="1" x14ac:dyDescent="0.25">
      <c r="A15" s="37" t="s">
        <v>329</v>
      </c>
      <c r="B15" s="796" t="s">
        <v>306</v>
      </c>
      <c r="C15" s="797"/>
      <c r="D15" s="798"/>
      <c r="E15" s="467" t="s">
        <v>886</v>
      </c>
      <c r="F15" s="468">
        <v>521.5</v>
      </c>
      <c r="G15" s="469">
        <f>+PRESUPUESTO!F11</f>
        <v>3007</v>
      </c>
      <c r="H15" s="799">
        <f t="shared" si="0"/>
        <v>1568151</v>
      </c>
      <c r="I15" s="800"/>
      <c r="J15" s="800"/>
      <c r="K15" s="801"/>
      <c r="M15" s="477"/>
    </row>
    <row r="16" spans="1:13" ht="27" customHeight="1" x14ac:dyDescent="0.25">
      <c r="A16" s="37" t="s">
        <v>330</v>
      </c>
      <c r="B16" s="796" t="s">
        <v>307</v>
      </c>
      <c r="C16" s="797"/>
      <c r="D16" s="798"/>
      <c r="E16" s="467" t="s">
        <v>5</v>
      </c>
      <c r="F16" s="468">
        <v>387</v>
      </c>
      <c r="G16" s="469">
        <f>+PRESUPUESTO!F12</f>
        <v>42860</v>
      </c>
      <c r="H16" s="799">
        <f t="shared" si="0"/>
        <v>16586820</v>
      </c>
      <c r="I16" s="800"/>
      <c r="J16" s="800"/>
      <c r="K16" s="801"/>
      <c r="M16" s="477"/>
    </row>
    <row r="17" spans="1:13" ht="41.25" customHeight="1" x14ac:dyDescent="0.25">
      <c r="A17" s="37" t="s">
        <v>331</v>
      </c>
      <c r="B17" s="796" t="s">
        <v>887</v>
      </c>
      <c r="C17" s="797"/>
      <c r="D17" s="798"/>
      <c r="E17" s="467" t="s">
        <v>886</v>
      </c>
      <c r="F17" s="468">
        <v>1130</v>
      </c>
      <c r="G17" s="469">
        <f>+PRESUPUESTO!F13</f>
        <v>6449</v>
      </c>
      <c r="H17" s="799">
        <f t="shared" si="0"/>
        <v>7287370</v>
      </c>
      <c r="I17" s="800"/>
      <c r="J17" s="800"/>
      <c r="K17" s="801"/>
      <c r="M17" s="477"/>
    </row>
    <row r="18" spans="1:13" ht="46.5" customHeight="1" x14ac:dyDescent="0.25">
      <c r="A18" s="37" t="s">
        <v>332</v>
      </c>
      <c r="B18" s="796" t="s">
        <v>424</v>
      </c>
      <c r="C18" s="797"/>
      <c r="D18" s="798"/>
      <c r="E18" s="467" t="s">
        <v>5</v>
      </c>
      <c r="F18" s="468">
        <v>74</v>
      </c>
      <c r="G18" s="469">
        <f>+PRESUPUESTO!F14</f>
        <v>81829</v>
      </c>
      <c r="H18" s="799">
        <f t="shared" si="0"/>
        <v>6055346</v>
      </c>
      <c r="I18" s="800"/>
      <c r="J18" s="800"/>
      <c r="K18" s="801"/>
      <c r="M18" s="477"/>
    </row>
    <row r="19" spans="1:13" ht="75.75" customHeight="1" x14ac:dyDescent="0.25">
      <c r="A19" s="37" t="s">
        <v>333</v>
      </c>
      <c r="B19" s="796" t="s">
        <v>425</v>
      </c>
      <c r="C19" s="797"/>
      <c r="D19" s="798"/>
      <c r="E19" s="467" t="s">
        <v>5</v>
      </c>
      <c r="F19" s="468">
        <v>626</v>
      </c>
      <c r="G19" s="469">
        <f>+PRESUPUESTO!F15</f>
        <v>64547</v>
      </c>
      <c r="H19" s="799">
        <f t="shared" si="0"/>
        <v>40406422</v>
      </c>
      <c r="I19" s="800"/>
      <c r="J19" s="800"/>
      <c r="K19" s="801"/>
      <c r="M19" s="477"/>
    </row>
    <row r="20" spans="1:13" ht="44.25" customHeight="1" x14ac:dyDescent="0.25">
      <c r="A20" s="37" t="s">
        <v>334</v>
      </c>
      <c r="B20" s="796" t="s">
        <v>426</v>
      </c>
      <c r="C20" s="797"/>
      <c r="D20" s="798"/>
      <c r="E20" s="467" t="s">
        <v>886</v>
      </c>
      <c r="F20" s="468">
        <v>1340</v>
      </c>
      <c r="G20" s="469">
        <f>+PRESUPUESTO!F16</f>
        <v>52647</v>
      </c>
      <c r="H20" s="799">
        <f t="shared" si="0"/>
        <v>70546980</v>
      </c>
      <c r="I20" s="800"/>
      <c r="J20" s="800"/>
      <c r="K20" s="801"/>
      <c r="M20" s="477"/>
    </row>
    <row r="21" spans="1:13" ht="19.5" customHeight="1" x14ac:dyDescent="0.25">
      <c r="A21" s="37" t="s">
        <v>335</v>
      </c>
      <c r="B21" s="796" t="s">
        <v>427</v>
      </c>
      <c r="C21" s="797"/>
      <c r="D21" s="798"/>
      <c r="E21" s="467" t="s">
        <v>888</v>
      </c>
      <c r="F21" s="468">
        <v>7.13</v>
      </c>
      <c r="G21" s="469">
        <f>+PRESUPUESTO!F17</f>
        <v>99494</v>
      </c>
      <c r="H21" s="799">
        <f t="shared" si="0"/>
        <v>709392</v>
      </c>
      <c r="I21" s="800"/>
      <c r="J21" s="800"/>
      <c r="K21" s="801"/>
      <c r="M21" s="477"/>
    </row>
    <row r="22" spans="1:13" ht="54" customHeight="1" x14ac:dyDescent="0.25">
      <c r="A22" s="37" t="s">
        <v>336</v>
      </c>
      <c r="B22" s="808" t="s">
        <v>889</v>
      </c>
      <c r="C22" s="808"/>
      <c r="D22" s="808"/>
      <c r="E22" s="470" t="s">
        <v>102</v>
      </c>
      <c r="F22" s="468">
        <v>1</v>
      </c>
      <c r="G22" s="469">
        <f>+PRESUPUESTO!F18</f>
        <v>42840322</v>
      </c>
      <c r="H22" s="799">
        <f t="shared" si="0"/>
        <v>42840322</v>
      </c>
      <c r="I22" s="800"/>
      <c r="J22" s="800"/>
      <c r="K22" s="801"/>
      <c r="M22" s="477"/>
    </row>
    <row r="23" spans="1:13" ht="15.6" x14ac:dyDescent="0.25">
      <c r="A23" s="43">
        <v>1.2</v>
      </c>
      <c r="B23" s="802" t="s">
        <v>6</v>
      </c>
      <c r="C23" s="803"/>
      <c r="D23" s="804"/>
      <c r="E23" s="805"/>
      <c r="F23" s="806"/>
      <c r="G23" s="806"/>
      <c r="H23" s="806"/>
      <c r="I23" s="806"/>
      <c r="J23" s="806"/>
      <c r="K23" s="807"/>
      <c r="M23" s="477"/>
    </row>
    <row r="24" spans="1:13" ht="25.5" customHeight="1" x14ac:dyDescent="0.25">
      <c r="A24" s="43" t="s">
        <v>337</v>
      </c>
      <c r="B24" s="809" t="s">
        <v>451</v>
      </c>
      <c r="C24" s="810"/>
      <c r="D24" s="811"/>
      <c r="E24" s="805"/>
      <c r="F24" s="806"/>
      <c r="G24" s="806"/>
      <c r="H24" s="806"/>
      <c r="I24" s="806"/>
      <c r="J24" s="806"/>
      <c r="K24" s="807"/>
      <c r="M24" s="477"/>
    </row>
    <row r="25" spans="1:13" ht="40.5" customHeight="1" x14ac:dyDescent="0.25">
      <c r="A25" s="471" t="s">
        <v>444</v>
      </c>
      <c r="B25" s="796" t="s">
        <v>455</v>
      </c>
      <c r="C25" s="797"/>
      <c r="D25" s="798"/>
      <c r="E25" s="470" t="s">
        <v>7</v>
      </c>
      <c r="F25" s="470">
        <v>500</v>
      </c>
      <c r="G25" s="469">
        <f>+PRESUPUESTO!F21</f>
        <v>17775</v>
      </c>
      <c r="H25" s="799">
        <f t="shared" ref="H25" si="1">ROUND(+F25*G25,0)</f>
        <v>8887500</v>
      </c>
      <c r="I25" s="800"/>
      <c r="J25" s="800"/>
      <c r="K25" s="801"/>
      <c r="M25" s="477"/>
    </row>
    <row r="26" spans="1:13" ht="15.6" x14ac:dyDescent="0.25">
      <c r="A26" s="471" t="s">
        <v>446</v>
      </c>
      <c r="B26" s="796" t="s">
        <v>456</v>
      </c>
      <c r="C26" s="797"/>
      <c r="D26" s="798"/>
      <c r="E26" s="470" t="s">
        <v>7</v>
      </c>
      <c r="F26" s="470">
        <v>20</v>
      </c>
      <c r="G26" s="469">
        <f>+PRESUPUESTO!F22</f>
        <v>17775</v>
      </c>
      <c r="H26" s="799">
        <f t="shared" ref="H26:H29" si="2">ROUND(+F26*G26,0)</f>
        <v>355500</v>
      </c>
      <c r="I26" s="800"/>
      <c r="J26" s="800"/>
      <c r="K26" s="801"/>
      <c r="M26" s="477"/>
    </row>
    <row r="27" spans="1:13" ht="15.6" x14ac:dyDescent="0.25">
      <c r="A27" s="471" t="s">
        <v>460</v>
      </c>
      <c r="B27" s="796" t="s">
        <v>457</v>
      </c>
      <c r="C27" s="797"/>
      <c r="D27" s="798"/>
      <c r="E27" s="470" t="s">
        <v>7</v>
      </c>
      <c r="F27" s="470">
        <v>8</v>
      </c>
      <c r="G27" s="469">
        <f>+PRESUPUESTO!F23</f>
        <v>17775</v>
      </c>
      <c r="H27" s="799">
        <f t="shared" si="2"/>
        <v>142200</v>
      </c>
      <c r="I27" s="800"/>
      <c r="J27" s="800"/>
      <c r="K27" s="801"/>
      <c r="M27" s="477"/>
    </row>
    <row r="28" spans="1:13" ht="15.6" x14ac:dyDescent="0.25">
      <c r="A28" s="471" t="s">
        <v>461</v>
      </c>
      <c r="B28" s="796" t="s">
        <v>458</v>
      </c>
      <c r="C28" s="797"/>
      <c r="D28" s="798"/>
      <c r="E28" s="470" t="s">
        <v>7</v>
      </c>
      <c r="F28" s="470">
        <v>25</v>
      </c>
      <c r="G28" s="469">
        <f>+PRESUPUESTO!F24</f>
        <v>17775</v>
      </c>
      <c r="H28" s="799">
        <f t="shared" si="2"/>
        <v>444375</v>
      </c>
      <c r="I28" s="800"/>
      <c r="J28" s="800"/>
      <c r="K28" s="801"/>
      <c r="M28" s="477"/>
    </row>
    <row r="29" spans="1:13" ht="15.6" x14ac:dyDescent="0.25">
      <c r="A29" s="471" t="s">
        <v>462</v>
      </c>
      <c r="B29" s="796" t="s">
        <v>459</v>
      </c>
      <c r="C29" s="797"/>
      <c r="D29" s="798"/>
      <c r="E29" s="470" t="s">
        <v>7</v>
      </c>
      <c r="F29" s="470">
        <v>12</v>
      </c>
      <c r="G29" s="469">
        <f>+PRESUPUESTO!F25</f>
        <v>17775</v>
      </c>
      <c r="H29" s="799">
        <f t="shared" si="2"/>
        <v>213300</v>
      </c>
      <c r="I29" s="800"/>
      <c r="J29" s="800"/>
      <c r="K29" s="801"/>
      <c r="M29" s="477"/>
    </row>
    <row r="30" spans="1:13" ht="22.5" customHeight="1" x14ac:dyDescent="0.25">
      <c r="A30" s="472" t="s">
        <v>338</v>
      </c>
      <c r="B30" s="809" t="s">
        <v>447</v>
      </c>
      <c r="C30" s="810"/>
      <c r="D30" s="811"/>
      <c r="E30" s="805"/>
      <c r="F30" s="806"/>
      <c r="G30" s="806"/>
      <c r="H30" s="806"/>
      <c r="I30" s="806"/>
      <c r="J30" s="806"/>
      <c r="K30" s="807"/>
      <c r="M30" s="477"/>
    </row>
    <row r="31" spans="1:13" ht="30.75" customHeight="1" x14ac:dyDescent="0.25">
      <c r="A31" s="473" t="s">
        <v>445</v>
      </c>
      <c r="B31" s="796" t="s">
        <v>448</v>
      </c>
      <c r="C31" s="797"/>
      <c r="D31" s="798"/>
      <c r="E31" s="467" t="s">
        <v>888</v>
      </c>
      <c r="F31" s="468">
        <v>1063.413594102765</v>
      </c>
      <c r="G31" s="469">
        <f>+PRESUPUESTO!F27</f>
        <v>25203</v>
      </c>
      <c r="H31" s="799">
        <f t="shared" ref="H31:H32" si="3">ROUND(+F31*G31,0)</f>
        <v>26801213</v>
      </c>
      <c r="I31" s="800"/>
      <c r="J31" s="800"/>
      <c r="K31" s="801"/>
      <c r="M31" s="477"/>
    </row>
    <row r="32" spans="1:13" ht="30" customHeight="1" x14ac:dyDescent="0.25">
      <c r="A32" s="473" t="s">
        <v>890</v>
      </c>
      <c r="B32" s="796" t="s">
        <v>891</v>
      </c>
      <c r="C32" s="797"/>
      <c r="D32" s="798"/>
      <c r="E32" s="467" t="s">
        <v>888</v>
      </c>
      <c r="F32" s="468">
        <v>193.29705771447524</v>
      </c>
      <c r="G32" s="469">
        <f>+PRESUPUESTO!F28</f>
        <v>50713</v>
      </c>
      <c r="H32" s="799">
        <f t="shared" si="3"/>
        <v>9802674</v>
      </c>
      <c r="I32" s="800"/>
      <c r="J32" s="800"/>
      <c r="K32" s="801"/>
      <c r="M32" s="477"/>
    </row>
    <row r="33" spans="1:13" ht="25.5" customHeight="1" x14ac:dyDescent="0.25">
      <c r="A33" s="472" t="s">
        <v>339</v>
      </c>
      <c r="B33" s="809" t="s">
        <v>447</v>
      </c>
      <c r="C33" s="810"/>
      <c r="D33" s="811"/>
      <c r="E33" s="805"/>
      <c r="F33" s="806"/>
      <c r="G33" s="806"/>
      <c r="H33" s="806"/>
      <c r="I33" s="806"/>
      <c r="J33" s="806"/>
      <c r="K33" s="807"/>
      <c r="M33" s="477"/>
    </row>
    <row r="34" spans="1:13" ht="30" customHeight="1" x14ac:dyDescent="0.25">
      <c r="A34" s="473" t="s">
        <v>452</v>
      </c>
      <c r="B34" s="796" t="s">
        <v>450</v>
      </c>
      <c r="C34" s="797"/>
      <c r="D34" s="798"/>
      <c r="E34" s="467" t="s">
        <v>888</v>
      </c>
      <c r="F34" s="468">
        <v>27.287499477922392</v>
      </c>
      <c r="G34" s="469">
        <f>+PRESUPUESTO!F30</f>
        <v>25203</v>
      </c>
      <c r="H34" s="799">
        <f t="shared" ref="H34:H35" si="4">ROUND(+F34*G34,0)</f>
        <v>687727</v>
      </c>
      <c r="I34" s="800"/>
      <c r="J34" s="800"/>
      <c r="K34" s="801"/>
      <c r="M34" s="477"/>
    </row>
    <row r="35" spans="1:13" ht="30" customHeight="1" x14ac:dyDescent="0.25">
      <c r="A35" s="473" t="s">
        <v>659</v>
      </c>
      <c r="B35" s="796" t="s">
        <v>660</v>
      </c>
      <c r="C35" s="797"/>
      <c r="D35" s="798"/>
      <c r="E35" s="467" t="s">
        <v>888</v>
      </c>
      <c r="F35" s="468">
        <v>3.9571751636678663</v>
      </c>
      <c r="G35" s="469">
        <f>+PRESUPUESTO!F31</f>
        <v>50713</v>
      </c>
      <c r="H35" s="799">
        <f t="shared" si="4"/>
        <v>200680</v>
      </c>
      <c r="I35" s="800"/>
      <c r="J35" s="800"/>
      <c r="K35" s="801"/>
      <c r="M35" s="477"/>
    </row>
    <row r="36" spans="1:13" ht="30" customHeight="1" x14ac:dyDescent="0.25">
      <c r="A36" s="472" t="s">
        <v>340</v>
      </c>
      <c r="B36" s="809" t="s">
        <v>465</v>
      </c>
      <c r="C36" s="810"/>
      <c r="D36" s="811"/>
      <c r="E36" s="805"/>
      <c r="F36" s="806"/>
      <c r="G36" s="806"/>
      <c r="H36" s="806"/>
      <c r="I36" s="806"/>
      <c r="J36" s="806"/>
      <c r="K36" s="807"/>
      <c r="M36" s="477"/>
    </row>
    <row r="37" spans="1:13" ht="30" customHeight="1" x14ac:dyDescent="0.25">
      <c r="A37" s="473" t="s">
        <v>463</v>
      </c>
      <c r="B37" s="796" t="s">
        <v>464</v>
      </c>
      <c r="C37" s="797"/>
      <c r="D37" s="798"/>
      <c r="E37" s="467" t="s">
        <v>888</v>
      </c>
      <c r="F37" s="468">
        <v>11</v>
      </c>
      <c r="G37" s="469">
        <f>+PRESUPUESTO!F33</f>
        <v>25203</v>
      </c>
      <c r="H37" s="799">
        <f t="shared" ref="H37" si="5">ROUND(+F37*G37,0)</f>
        <v>277233</v>
      </c>
      <c r="I37" s="800"/>
      <c r="J37" s="800"/>
      <c r="K37" s="801"/>
      <c r="M37" s="477"/>
    </row>
    <row r="38" spans="1:13" ht="30.75" customHeight="1" x14ac:dyDescent="0.25">
      <c r="A38" s="472" t="s">
        <v>341</v>
      </c>
      <c r="B38" s="809" t="s">
        <v>471</v>
      </c>
      <c r="C38" s="810"/>
      <c r="D38" s="811"/>
      <c r="E38" s="805"/>
      <c r="F38" s="806"/>
      <c r="G38" s="806"/>
      <c r="H38" s="806"/>
      <c r="I38" s="806"/>
      <c r="J38" s="806"/>
      <c r="K38" s="807"/>
      <c r="M38" s="477"/>
    </row>
    <row r="39" spans="1:13" ht="30" customHeight="1" x14ac:dyDescent="0.25">
      <c r="A39" s="473" t="s">
        <v>467</v>
      </c>
      <c r="B39" s="796" t="s">
        <v>466</v>
      </c>
      <c r="C39" s="797"/>
      <c r="D39" s="798"/>
      <c r="E39" s="467" t="s">
        <v>888</v>
      </c>
      <c r="F39" s="468">
        <v>11.25</v>
      </c>
      <c r="G39" s="469">
        <f>+PRESUPUESTO!F35</f>
        <v>17775</v>
      </c>
      <c r="H39" s="799">
        <f t="shared" ref="H39" si="6">ROUND(+F39*G39,0)</f>
        <v>199969</v>
      </c>
      <c r="I39" s="800"/>
      <c r="J39" s="800"/>
      <c r="K39" s="801"/>
      <c r="M39" s="477"/>
    </row>
    <row r="40" spans="1:13" ht="30" customHeight="1" x14ac:dyDescent="0.25">
      <c r="A40" s="107" t="s">
        <v>431</v>
      </c>
      <c r="B40" s="809" t="s">
        <v>469</v>
      </c>
      <c r="C40" s="810"/>
      <c r="D40" s="811"/>
      <c r="E40" s="805"/>
      <c r="F40" s="806"/>
      <c r="G40" s="806"/>
      <c r="H40" s="806"/>
      <c r="I40" s="806"/>
      <c r="J40" s="806"/>
      <c r="K40" s="807"/>
      <c r="M40" s="477"/>
    </row>
    <row r="41" spans="1:13" ht="30" customHeight="1" x14ac:dyDescent="0.25">
      <c r="A41" s="473" t="s">
        <v>468</v>
      </c>
      <c r="B41" s="796" t="s">
        <v>666</v>
      </c>
      <c r="C41" s="797"/>
      <c r="D41" s="798"/>
      <c r="E41" s="467" t="s">
        <v>888</v>
      </c>
      <c r="F41" s="468">
        <v>200</v>
      </c>
      <c r="G41" s="469">
        <f>+PRESUPUESTO!F37</f>
        <v>17775</v>
      </c>
      <c r="H41" s="799">
        <f t="shared" ref="H41" si="7">ROUND(+F41*G41,0)</f>
        <v>3555000</v>
      </c>
      <c r="I41" s="800"/>
      <c r="J41" s="800"/>
      <c r="K41" s="801"/>
      <c r="M41" s="477"/>
    </row>
    <row r="42" spans="1:13" ht="54.75" customHeight="1" x14ac:dyDescent="0.25">
      <c r="A42" s="473" t="s">
        <v>808</v>
      </c>
      <c r="B42" s="796" t="s">
        <v>383</v>
      </c>
      <c r="C42" s="797"/>
      <c r="D42" s="798"/>
      <c r="E42" s="467" t="s">
        <v>888</v>
      </c>
      <c r="F42" s="468">
        <v>470</v>
      </c>
      <c r="G42" s="469">
        <f>+PRESUPUESTO!F38</f>
        <v>144273</v>
      </c>
      <c r="H42" s="799">
        <f t="shared" ref="H42:H44" si="8">ROUND(+F42*G42,0)</f>
        <v>67808310</v>
      </c>
      <c r="I42" s="800"/>
      <c r="J42" s="800"/>
      <c r="K42" s="801"/>
      <c r="M42" s="477"/>
    </row>
    <row r="43" spans="1:13" ht="30" customHeight="1" x14ac:dyDescent="0.25">
      <c r="A43" s="473" t="s">
        <v>809</v>
      </c>
      <c r="B43" s="796" t="s">
        <v>892</v>
      </c>
      <c r="C43" s="797"/>
      <c r="D43" s="798"/>
      <c r="E43" s="467" t="s">
        <v>888</v>
      </c>
      <c r="F43" s="468">
        <v>575</v>
      </c>
      <c r="G43" s="469">
        <f>+PRESUPUESTO!F39</f>
        <v>15235</v>
      </c>
      <c r="H43" s="799">
        <f t="shared" si="8"/>
        <v>8760125</v>
      </c>
      <c r="I43" s="800"/>
      <c r="J43" s="800"/>
      <c r="K43" s="801"/>
      <c r="M43" s="477"/>
    </row>
    <row r="44" spans="1:13" ht="68.25" customHeight="1" x14ac:dyDescent="0.25">
      <c r="A44" s="473" t="s">
        <v>810</v>
      </c>
      <c r="B44" s="796" t="s">
        <v>384</v>
      </c>
      <c r="C44" s="797"/>
      <c r="D44" s="798"/>
      <c r="E44" s="467" t="s">
        <v>888</v>
      </c>
      <c r="F44" s="468">
        <v>713</v>
      </c>
      <c r="G44" s="469">
        <f>+PRESUPUESTO!F40</f>
        <v>54198</v>
      </c>
      <c r="H44" s="799">
        <f t="shared" si="8"/>
        <v>38643174</v>
      </c>
      <c r="I44" s="800"/>
      <c r="J44" s="800"/>
      <c r="K44" s="801"/>
      <c r="M44" s="477"/>
    </row>
    <row r="45" spans="1:13" s="474" customFormat="1" ht="33" customHeight="1" x14ac:dyDescent="0.25">
      <c r="A45" s="43">
        <v>1.3</v>
      </c>
      <c r="B45" s="809" t="s">
        <v>187</v>
      </c>
      <c r="C45" s="810"/>
      <c r="D45" s="811"/>
      <c r="E45" s="812"/>
      <c r="F45" s="813"/>
      <c r="G45" s="813"/>
      <c r="H45" s="813"/>
      <c r="I45" s="813"/>
      <c r="J45" s="813"/>
      <c r="K45" s="814"/>
      <c r="L45" s="463"/>
      <c r="M45" s="477"/>
    </row>
    <row r="46" spans="1:13" ht="30" customHeight="1" x14ac:dyDescent="0.25">
      <c r="A46" s="473" t="s">
        <v>342</v>
      </c>
      <c r="B46" s="796" t="s">
        <v>128</v>
      </c>
      <c r="C46" s="797"/>
      <c r="D46" s="798"/>
      <c r="E46" s="467" t="s">
        <v>5</v>
      </c>
      <c r="F46" s="468">
        <v>323</v>
      </c>
      <c r="G46" s="469">
        <f>+PRESUPUESTO!F42</f>
        <v>1091419</v>
      </c>
      <c r="H46" s="799">
        <f t="shared" ref="H46" si="9">ROUND(+F46*G46,0)</f>
        <v>352528337</v>
      </c>
      <c r="I46" s="800"/>
      <c r="J46" s="800"/>
      <c r="K46" s="801"/>
      <c r="M46" s="477"/>
    </row>
    <row r="47" spans="1:13" ht="30" customHeight="1" x14ac:dyDescent="0.25">
      <c r="A47" s="473" t="s">
        <v>343</v>
      </c>
      <c r="B47" s="796" t="s">
        <v>132</v>
      </c>
      <c r="C47" s="797"/>
      <c r="D47" s="798"/>
      <c r="E47" s="467" t="s">
        <v>5</v>
      </c>
      <c r="F47" s="468">
        <v>23.5</v>
      </c>
      <c r="G47" s="469">
        <f>+PRESUPUESTO!F43</f>
        <v>45226</v>
      </c>
      <c r="H47" s="799">
        <f t="shared" ref="H47:H50" si="10">ROUND(+F47*G47,0)</f>
        <v>1062811</v>
      </c>
      <c r="I47" s="800"/>
      <c r="J47" s="800"/>
      <c r="K47" s="801"/>
      <c r="M47" s="477"/>
    </row>
    <row r="48" spans="1:13" x14ac:dyDescent="0.25">
      <c r="A48" s="473" t="s">
        <v>344</v>
      </c>
      <c r="B48" s="796" t="s">
        <v>893</v>
      </c>
      <c r="C48" s="797"/>
      <c r="D48" s="798"/>
      <c r="E48" s="467" t="s">
        <v>5</v>
      </c>
      <c r="F48" s="468">
        <v>2.5</v>
      </c>
      <c r="G48" s="469">
        <f>+PRESUPUESTO!F44</f>
        <v>90422</v>
      </c>
      <c r="H48" s="799">
        <f t="shared" si="10"/>
        <v>226055</v>
      </c>
      <c r="I48" s="800"/>
      <c r="J48" s="800"/>
      <c r="K48" s="801"/>
      <c r="M48" s="477"/>
    </row>
    <row r="49" spans="1:13" ht="15" customHeight="1" x14ac:dyDescent="0.25">
      <c r="A49" s="473" t="s">
        <v>345</v>
      </c>
      <c r="B49" s="796" t="s">
        <v>138</v>
      </c>
      <c r="C49" s="797"/>
      <c r="D49" s="798"/>
      <c r="E49" s="467" t="s">
        <v>113</v>
      </c>
      <c r="F49" s="468">
        <v>2</v>
      </c>
      <c r="G49" s="469">
        <f>+PRESUPUESTO!F45</f>
        <v>1737298</v>
      </c>
      <c r="H49" s="799">
        <f t="shared" si="10"/>
        <v>3474596</v>
      </c>
      <c r="I49" s="800"/>
      <c r="J49" s="800"/>
      <c r="K49" s="801"/>
      <c r="M49" s="477"/>
    </row>
    <row r="50" spans="1:13" ht="30" customHeight="1" x14ac:dyDescent="0.25">
      <c r="A50" s="473" t="s">
        <v>346</v>
      </c>
      <c r="B50" s="796" t="s">
        <v>143</v>
      </c>
      <c r="C50" s="797"/>
      <c r="D50" s="798"/>
      <c r="E50" s="467" t="s">
        <v>113</v>
      </c>
      <c r="F50" s="468">
        <v>4</v>
      </c>
      <c r="G50" s="469">
        <f>+PRESUPUESTO!F46</f>
        <v>277771</v>
      </c>
      <c r="H50" s="799">
        <f t="shared" si="10"/>
        <v>1111084</v>
      </c>
      <c r="I50" s="800"/>
      <c r="J50" s="800"/>
      <c r="K50" s="801"/>
      <c r="M50" s="477"/>
    </row>
    <row r="51" spans="1:13" x14ac:dyDescent="0.25">
      <c r="A51" s="475">
        <v>1.4</v>
      </c>
      <c r="B51" s="809" t="s">
        <v>8</v>
      </c>
      <c r="C51" s="810"/>
      <c r="D51" s="811"/>
      <c r="E51" s="812"/>
      <c r="F51" s="813"/>
      <c r="G51" s="813"/>
      <c r="H51" s="813"/>
      <c r="I51" s="813"/>
      <c r="J51" s="813"/>
      <c r="K51" s="814"/>
      <c r="M51" s="477"/>
    </row>
    <row r="52" spans="1:13" ht="50.25" customHeight="1" x14ac:dyDescent="0.25">
      <c r="A52" s="473" t="s">
        <v>347</v>
      </c>
      <c r="B52" s="796" t="s">
        <v>385</v>
      </c>
      <c r="C52" s="797"/>
      <c r="D52" s="798"/>
      <c r="E52" s="467" t="s">
        <v>7</v>
      </c>
      <c r="F52" s="468">
        <v>80</v>
      </c>
      <c r="G52" s="469">
        <f>+PRESUPUESTO!F48</f>
        <v>893152</v>
      </c>
      <c r="H52" s="799">
        <f t="shared" ref="H52:H53" si="11">ROUND(+F52*G52,0)</f>
        <v>71452160</v>
      </c>
      <c r="I52" s="800"/>
      <c r="J52" s="800"/>
      <c r="K52" s="801"/>
      <c r="M52" s="477"/>
    </row>
    <row r="53" spans="1:13" ht="48" customHeight="1" x14ac:dyDescent="0.25">
      <c r="A53" s="473" t="s">
        <v>348</v>
      </c>
      <c r="B53" s="796" t="s">
        <v>386</v>
      </c>
      <c r="C53" s="797"/>
      <c r="D53" s="798"/>
      <c r="E53" s="467" t="s">
        <v>113</v>
      </c>
      <c r="F53" s="468">
        <v>7</v>
      </c>
      <c r="G53" s="469">
        <f>+PRESUPUESTO!F49</f>
        <v>434189</v>
      </c>
      <c r="H53" s="799">
        <f t="shared" si="11"/>
        <v>3039323</v>
      </c>
      <c r="I53" s="800"/>
      <c r="J53" s="800"/>
      <c r="K53" s="801"/>
      <c r="M53" s="477"/>
    </row>
    <row r="54" spans="1:13" ht="37.5" customHeight="1" x14ac:dyDescent="0.25">
      <c r="A54" s="473" t="s">
        <v>349</v>
      </c>
      <c r="B54" s="796" t="s">
        <v>241</v>
      </c>
      <c r="C54" s="797"/>
      <c r="D54" s="798"/>
      <c r="E54" s="467" t="s">
        <v>5</v>
      </c>
      <c r="F54" s="468">
        <v>14.438615299786534</v>
      </c>
      <c r="G54" s="469">
        <f>+PRESUPUESTO!F50</f>
        <v>751442</v>
      </c>
      <c r="H54" s="799">
        <f t="shared" ref="H54:H59" si="12">ROUND(+F54*G54,0)</f>
        <v>10849782</v>
      </c>
      <c r="I54" s="800"/>
      <c r="J54" s="800"/>
      <c r="K54" s="801"/>
      <c r="M54" s="477"/>
    </row>
    <row r="55" spans="1:13" ht="56.25" customHeight="1" x14ac:dyDescent="0.25">
      <c r="A55" s="473" t="s">
        <v>350</v>
      </c>
      <c r="B55" s="796" t="s">
        <v>387</v>
      </c>
      <c r="C55" s="797"/>
      <c r="D55" s="798"/>
      <c r="E55" s="467" t="s">
        <v>113</v>
      </c>
      <c r="F55" s="468">
        <v>7</v>
      </c>
      <c r="G55" s="469">
        <f>+PRESUPUESTO!F51</f>
        <v>1465017</v>
      </c>
      <c r="H55" s="799">
        <f t="shared" si="12"/>
        <v>10255119</v>
      </c>
      <c r="I55" s="800"/>
      <c r="J55" s="800"/>
      <c r="K55" s="801"/>
      <c r="M55" s="477"/>
    </row>
    <row r="56" spans="1:13" ht="63" customHeight="1" x14ac:dyDescent="0.25">
      <c r="A56" s="473" t="s">
        <v>351</v>
      </c>
      <c r="B56" s="796" t="s">
        <v>388</v>
      </c>
      <c r="C56" s="797"/>
      <c r="D56" s="798"/>
      <c r="E56" s="467" t="s">
        <v>113</v>
      </c>
      <c r="F56" s="468">
        <v>2</v>
      </c>
      <c r="G56" s="469">
        <f>+PRESUPUESTO!F52</f>
        <v>519137</v>
      </c>
      <c r="H56" s="799">
        <f t="shared" si="12"/>
        <v>1038274</v>
      </c>
      <c r="I56" s="800"/>
      <c r="J56" s="800"/>
      <c r="K56" s="801"/>
      <c r="M56" s="477"/>
    </row>
    <row r="57" spans="1:13" ht="69" customHeight="1" x14ac:dyDescent="0.25">
      <c r="A57" s="473" t="s">
        <v>352</v>
      </c>
      <c r="B57" s="796" t="s">
        <v>389</v>
      </c>
      <c r="C57" s="797"/>
      <c r="D57" s="798"/>
      <c r="E57" s="467" t="s">
        <v>4</v>
      </c>
      <c r="F57" s="468">
        <v>15.2</v>
      </c>
      <c r="G57" s="469">
        <f>+PRESUPUESTO!F53</f>
        <v>209757</v>
      </c>
      <c r="H57" s="799">
        <f t="shared" si="12"/>
        <v>3188306</v>
      </c>
      <c r="I57" s="800"/>
      <c r="J57" s="800"/>
      <c r="K57" s="801"/>
      <c r="M57" s="477"/>
    </row>
    <row r="58" spans="1:13" ht="54.75" customHeight="1" x14ac:dyDescent="0.25">
      <c r="A58" s="473" t="s">
        <v>353</v>
      </c>
      <c r="B58" s="796" t="s">
        <v>390</v>
      </c>
      <c r="C58" s="797"/>
      <c r="D58" s="798"/>
      <c r="E58" s="467" t="s">
        <v>7</v>
      </c>
      <c r="F58" s="468">
        <v>7.3382500000000004</v>
      </c>
      <c r="G58" s="469">
        <f>+PRESUPUESTO!F54</f>
        <v>745720</v>
      </c>
      <c r="H58" s="799">
        <f t="shared" si="12"/>
        <v>5472280</v>
      </c>
      <c r="I58" s="800"/>
      <c r="J58" s="800"/>
      <c r="K58" s="801"/>
      <c r="M58" s="477"/>
    </row>
    <row r="59" spans="1:13" ht="69" customHeight="1" x14ac:dyDescent="0.25">
      <c r="A59" s="473" t="s">
        <v>354</v>
      </c>
      <c r="B59" s="796" t="s">
        <v>391</v>
      </c>
      <c r="C59" s="797"/>
      <c r="D59" s="798"/>
      <c r="E59" s="467" t="s">
        <v>7</v>
      </c>
      <c r="F59" s="468">
        <v>1.7486283305884593</v>
      </c>
      <c r="G59" s="469">
        <f>+PRESUPUESTO!F55</f>
        <v>2234254</v>
      </c>
      <c r="H59" s="799">
        <f t="shared" si="12"/>
        <v>3906880</v>
      </c>
      <c r="I59" s="800"/>
      <c r="J59" s="800"/>
      <c r="K59" s="801"/>
      <c r="M59" s="477"/>
    </row>
    <row r="60" spans="1:13" x14ac:dyDescent="0.25">
      <c r="A60" s="475">
        <v>1.5</v>
      </c>
      <c r="B60" s="809" t="s">
        <v>109</v>
      </c>
      <c r="C60" s="810"/>
      <c r="D60" s="811"/>
      <c r="E60" s="812"/>
      <c r="F60" s="813"/>
      <c r="G60" s="813"/>
      <c r="H60" s="813"/>
      <c r="I60" s="813"/>
      <c r="J60" s="813"/>
      <c r="K60" s="814"/>
      <c r="M60" s="477"/>
    </row>
    <row r="61" spans="1:13" ht="45" customHeight="1" x14ac:dyDescent="0.25">
      <c r="A61" s="48" t="s">
        <v>355</v>
      </c>
      <c r="B61" s="808" t="s">
        <v>694</v>
      </c>
      <c r="C61" s="808"/>
      <c r="D61" s="808"/>
      <c r="E61" s="470" t="s">
        <v>90</v>
      </c>
      <c r="F61" s="468">
        <v>5392</v>
      </c>
      <c r="G61" s="469">
        <f>+PRESUPUESTO!F57</f>
        <v>3956</v>
      </c>
      <c r="H61" s="799">
        <f t="shared" ref="H61" si="13">ROUND(+F61*G61,0)</f>
        <v>21330752</v>
      </c>
      <c r="I61" s="800"/>
      <c r="J61" s="800"/>
      <c r="K61" s="801"/>
      <c r="M61" s="477"/>
    </row>
    <row r="62" spans="1:13" ht="45" customHeight="1" x14ac:dyDescent="0.25">
      <c r="A62" s="48" t="s">
        <v>477</v>
      </c>
      <c r="B62" s="808" t="s">
        <v>695</v>
      </c>
      <c r="C62" s="808"/>
      <c r="D62" s="808"/>
      <c r="E62" s="470" t="s">
        <v>90</v>
      </c>
      <c r="F62" s="468">
        <v>1010.7030709850574</v>
      </c>
      <c r="G62" s="469">
        <f>+PRESUPUESTO!F58</f>
        <v>3956</v>
      </c>
      <c r="H62" s="799">
        <f t="shared" ref="H62" si="14">ROUND(+F62*G62,0)</f>
        <v>3998341</v>
      </c>
      <c r="I62" s="800"/>
      <c r="J62" s="800"/>
      <c r="K62" s="801"/>
      <c r="M62" s="477"/>
    </row>
    <row r="63" spans="1:13" x14ac:dyDescent="0.25">
      <c r="A63" s="475">
        <v>1.6</v>
      </c>
      <c r="B63" s="809" t="s">
        <v>9</v>
      </c>
      <c r="C63" s="810"/>
      <c r="D63" s="811"/>
      <c r="E63" s="812"/>
      <c r="F63" s="813"/>
      <c r="G63" s="813"/>
      <c r="H63" s="813"/>
      <c r="I63" s="813"/>
      <c r="J63" s="813"/>
      <c r="K63" s="814"/>
      <c r="M63" s="477"/>
    </row>
    <row r="64" spans="1:13" ht="60" customHeight="1" x14ac:dyDescent="0.25">
      <c r="A64" s="473" t="s">
        <v>356</v>
      </c>
      <c r="B64" s="796" t="s">
        <v>158</v>
      </c>
      <c r="C64" s="797"/>
      <c r="D64" s="798"/>
      <c r="E64" s="467" t="s">
        <v>5</v>
      </c>
      <c r="F64" s="468">
        <v>273</v>
      </c>
      <c r="G64" s="469">
        <f>+PRESUPUESTO!F60</f>
        <v>210987</v>
      </c>
      <c r="H64" s="799">
        <f t="shared" ref="H64" si="15">ROUND(+F64*G64,0)</f>
        <v>57599451</v>
      </c>
      <c r="I64" s="800"/>
      <c r="J64" s="800"/>
      <c r="K64" s="801"/>
      <c r="M64" s="477"/>
    </row>
    <row r="65" spans="1:13" ht="45" customHeight="1" x14ac:dyDescent="0.25">
      <c r="A65" s="473" t="s">
        <v>357</v>
      </c>
      <c r="B65" s="796" t="s">
        <v>166</v>
      </c>
      <c r="C65" s="797"/>
      <c r="D65" s="798"/>
      <c r="E65" s="467" t="s">
        <v>5</v>
      </c>
      <c r="F65" s="468">
        <v>120</v>
      </c>
      <c r="G65" s="469">
        <f>+PRESUPUESTO!F61</f>
        <v>106233</v>
      </c>
      <c r="H65" s="799">
        <f t="shared" ref="H65:H74" si="16">ROUND(+F65*G65,0)</f>
        <v>12747960</v>
      </c>
      <c r="I65" s="800"/>
      <c r="J65" s="800"/>
      <c r="K65" s="801"/>
      <c r="M65" s="477"/>
    </row>
    <row r="66" spans="1:13" ht="55.5" customHeight="1" x14ac:dyDescent="0.25">
      <c r="A66" s="473" t="s">
        <v>358</v>
      </c>
      <c r="B66" s="796" t="s">
        <v>729</v>
      </c>
      <c r="C66" s="797"/>
      <c r="D66" s="798"/>
      <c r="E66" s="467" t="s">
        <v>113</v>
      </c>
      <c r="F66" s="468">
        <v>3</v>
      </c>
      <c r="G66" s="469">
        <f>+PRESUPUESTO!F62</f>
        <v>65843</v>
      </c>
      <c r="H66" s="799">
        <f t="shared" si="16"/>
        <v>197529</v>
      </c>
      <c r="I66" s="800"/>
      <c r="J66" s="800"/>
      <c r="K66" s="801"/>
      <c r="M66" s="477"/>
    </row>
    <row r="67" spans="1:13" ht="57.75" customHeight="1" x14ac:dyDescent="0.25">
      <c r="A67" s="473" t="s">
        <v>359</v>
      </c>
      <c r="B67" s="796" t="s">
        <v>733</v>
      </c>
      <c r="C67" s="797"/>
      <c r="D67" s="798"/>
      <c r="E67" s="467" t="s">
        <v>113</v>
      </c>
      <c r="F67" s="468">
        <v>4</v>
      </c>
      <c r="G67" s="469">
        <f>+PRESUPUESTO!F63</f>
        <v>62278</v>
      </c>
      <c r="H67" s="799">
        <f t="shared" si="16"/>
        <v>249112</v>
      </c>
      <c r="I67" s="800"/>
      <c r="J67" s="800"/>
      <c r="K67" s="801"/>
      <c r="M67" s="477"/>
    </row>
    <row r="68" spans="1:13" ht="57.75" customHeight="1" x14ac:dyDescent="0.25">
      <c r="A68" s="473" t="s">
        <v>360</v>
      </c>
      <c r="B68" s="796" t="s">
        <v>728</v>
      </c>
      <c r="C68" s="797"/>
      <c r="D68" s="798"/>
      <c r="E68" s="467" t="s">
        <v>113</v>
      </c>
      <c r="F68" s="468">
        <v>140</v>
      </c>
      <c r="G68" s="469">
        <f>+PRESUPUESTO!F64</f>
        <v>78407</v>
      </c>
      <c r="H68" s="799">
        <f t="shared" si="16"/>
        <v>10976980</v>
      </c>
      <c r="I68" s="800"/>
      <c r="J68" s="800"/>
      <c r="K68" s="801"/>
      <c r="M68" s="477"/>
    </row>
    <row r="69" spans="1:13" ht="53.25" customHeight="1" x14ac:dyDescent="0.25">
      <c r="A69" s="473" t="s">
        <v>361</v>
      </c>
      <c r="B69" s="796" t="s">
        <v>738</v>
      </c>
      <c r="C69" s="797"/>
      <c r="D69" s="798"/>
      <c r="E69" s="467" t="s">
        <v>4</v>
      </c>
      <c r="F69" s="468">
        <v>3.5</v>
      </c>
      <c r="G69" s="469">
        <f>+PRESUPUESTO!F65</f>
        <v>78407</v>
      </c>
      <c r="H69" s="799">
        <f t="shared" si="16"/>
        <v>274425</v>
      </c>
      <c r="I69" s="800"/>
      <c r="J69" s="800"/>
      <c r="K69" s="801"/>
      <c r="M69" s="477"/>
    </row>
    <row r="70" spans="1:13" ht="30" customHeight="1" x14ac:dyDescent="0.25">
      <c r="A70" s="467" t="s">
        <v>362</v>
      </c>
      <c r="B70" s="796" t="s">
        <v>175</v>
      </c>
      <c r="C70" s="797"/>
      <c r="D70" s="798"/>
      <c r="E70" s="467" t="s">
        <v>7</v>
      </c>
      <c r="F70" s="468">
        <v>52</v>
      </c>
      <c r="G70" s="469">
        <f>+PRESUPUESTO!F66</f>
        <v>140407</v>
      </c>
      <c r="H70" s="799">
        <f t="shared" si="16"/>
        <v>7301164</v>
      </c>
      <c r="I70" s="800"/>
      <c r="J70" s="800"/>
      <c r="K70" s="801"/>
      <c r="M70" s="477"/>
    </row>
    <row r="71" spans="1:13" ht="30" customHeight="1" x14ac:dyDescent="0.25">
      <c r="A71" s="473" t="s">
        <v>363</v>
      </c>
      <c r="B71" s="796" t="s">
        <v>264</v>
      </c>
      <c r="C71" s="797"/>
      <c r="D71" s="798"/>
      <c r="E71" s="467" t="s">
        <v>5</v>
      </c>
      <c r="F71" s="468">
        <v>56.500000000000007</v>
      </c>
      <c r="G71" s="469">
        <f>+PRESUPUESTO!F67</f>
        <v>36344</v>
      </c>
      <c r="H71" s="799">
        <f t="shared" si="16"/>
        <v>2053436</v>
      </c>
      <c r="I71" s="800"/>
      <c r="J71" s="800"/>
      <c r="K71" s="801"/>
      <c r="M71" s="477"/>
    </row>
    <row r="72" spans="1:13" ht="73.5" customHeight="1" x14ac:dyDescent="0.25">
      <c r="A72" s="473" t="s">
        <v>364</v>
      </c>
      <c r="B72" s="796" t="s">
        <v>478</v>
      </c>
      <c r="C72" s="797"/>
      <c r="D72" s="798"/>
      <c r="E72" s="467" t="s">
        <v>180</v>
      </c>
      <c r="F72" s="468">
        <v>2</v>
      </c>
      <c r="G72" s="469">
        <f>+PRESUPUESTO!F68</f>
        <v>16469536</v>
      </c>
      <c r="H72" s="799">
        <f t="shared" si="16"/>
        <v>32939072</v>
      </c>
      <c r="I72" s="800"/>
      <c r="J72" s="800"/>
      <c r="K72" s="801"/>
      <c r="M72" s="477"/>
    </row>
    <row r="73" spans="1:13" ht="45" customHeight="1" x14ac:dyDescent="0.25">
      <c r="A73" s="473" t="s">
        <v>365</v>
      </c>
      <c r="B73" s="796" t="s">
        <v>392</v>
      </c>
      <c r="C73" s="797"/>
      <c r="D73" s="798"/>
      <c r="E73" s="467" t="s">
        <v>90</v>
      </c>
      <c r="F73" s="468">
        <v>297</v>
      </c>
      <c r="G73" s="469">
        <f>+PRESUPUESTO!F69</f>
        <v>28119</v>
      </c>
      <c r="H73" s="799">
        <f t="shared" si="16"/>
        <v>8351343</v>
      </c>
      <c r="I73" s="800"/>
      <c r="J73" s="800"/>
      <c r="K73" s="801"/>
      <c r="M73" s="477"/>
    </row>
    <row r="74" spans="1:13" ht="96.75" customHeight="1" x14ac:dyDescent="0.25">
      <c r="A74" s="473" t="s">
        <v>484</v>
      </c>
      <c r="B74" s="796" t="s">
        <v>479</v>
      </c>
      <c r="C74" s="797"/>
      <c r="D74" s="798"/>
      <c r="E74" s="467" t="s">
        <v>113</v>
      </c>
      <c r="F74" s="468">
        <v>2</v>
      </c>
      <c r="G74" s="469">
        <f>+PRESUPUESTO!F70</f>
        <v>23557572</v>
      </c>
      <c r="H74" s="799">
        <f t="shared" si="16"/>
        <v>47115144</v>
      </c>
      <c r="I74" s="800"/>
      <c r="J74" s="800"/>
      <c r="K74" s="801"/>
      <c r="M74" s="477"/>
    </row>
    <row r="75" spans="1:13" ht="81" customHeight="1" x14ac:dyDescent="0.25">
      <c r="A75" s="473" t="s">
        <v>735</v>
      </c>
      <c r="B75" s="796" t="s">
        <v>480</v>
      </c>
      <c r="C75" s="797"/>
      <c r="D75" s="798"/>
      <c r="E75" s="467" t="s">
        <v>113</v>
      </c>
      <c r="F75" s="468">
        <v>2</v>
      </c>
      <c r="G75" s="469">
        <f>+PRESUPUESTO!F71</f>
        <v>4832577</v>
      </c>
      <c r="H75" s="799">
        <f t="shared" ref="H75:H77" si="17">ROUND(+F75*G75,0)</f>
        <v>9665154</v>
      </c>
      <c r="I75" s="800"/>
      <c r="J75" s="800"/>
      <c r="K75" s="801"/>
      <c r="M75" s="477"/>
    </row>
    <row r="76" spans="1:13" ht="56.25" customHeight="1" x14ac:dyDescent="0.25">
      <c r="A76" s="473" t="s">
        <v>736</v>
      </c>
      <c r="B76" s="796" t="s">
        <v>393</v>
      </c>
      <c r="C76" s="797"/>
      <c r="D76" s="798"/>
      <c r="E76" s="467" t="s">
        <v>113</v>
      </c>
      <c r="F76" s="468">
        <v>1</v>
      </c>
      <c r="G76" s="469">
        <f>+PRESUPUESTO!F72</f>
        <v>615912</v>
      </c>
      <c r="H76" s="799">
        <f t="shared" si="17"/>
        <v>615912</v>
      </c>
      <c r="I76" s="800"/>
      <c r="J76" s="800"/>
      <c r="K76" s="801"/>
      <c r="M76" s="477"/>
    </row>
    <row r="77" spans="1:13" ht="30" customHeight="1" x14ac:dyDescent="0.25">
      <c r="A77" s="473" t="s">
        <v>737</v>
      </c>
      <c r="B77" s="796" t="s">
        <v>486</v>
      </c>
      <c r="C77" s="797"/>
      <c r="D77" s="798"/>
      <c r="E77" s="467" t="s">
        <v>4</v>
      </c>
      <c r="F77" s="468">
        <v>593</v>
      </c>
      <c r="G77" s="469">
        <f>+PRESUPUESTO!F73</f>
        <v>1652</v>
      </c>
      <c r="H77" s="799">
        <f t="shared" si="17"/>
        <v>979636</v>
      </c>
      <c r="I77" s="800"/>
      <c r="J77" s="800"/>
      <c r="K77" s="801"/>
      <c r="M77" s="477"/>
    </row>
    <row r="78" spans="1:13" ht="15" customHeight="1" x14ac:dyDescent="0.25">
      <c r="A78" s="788" t="s">
        <v>189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90"/>
      <c r="M78" s="477"/>
    </row>
    <row r="79" spans="1:13" ht="15" customHeight="1" x14ac:dyDescent="0.25">
      <c r="A79" s="475">
        <v>2.1</v>
      </c>
      <c r="B79" s="809" t="s">
        <v>6</v>
      </c>
      <c r="C79" s="810"/>
      <c r="D79" s="811"/>
      <c r="E79" s="812"/>
      <c r="F79" s="813"/>
      <c r="G79" s="813"/>
      <c r="H79" s="813"/>
      <c r="I79" s="813"/>
      <c r="J79" s="813"/>
      <c r="K79" s="814"/>
      <c r="M79" s="477"/>
    </row>
    <row r="80" spans="1:13" ht="58.5" customHeight="1" x14ac:dyDescent="0.25">
      <c r="A80" s="473" t="s">
        <v>366</v>
      </c>
      <c r="B80" s="796" t="s">
        <v>506</v>
      </c>
      <c r="C80" s="797"/>
      <c r="D80" s="798"/>
      <c r="E80" s="467" t="s">
        <v>7</v>
      </c>
      <c r="F80" s="468">
        <v>440</v>
      </c>
      <c r="G80" s="469">
        <f>+PRESUPUESTO!F76</f>
        <v>402717</v>
      </c>
      <c r="H80" s="799">
        <f t="shared" ref="H80" si="18">ROUND(+F80*G80,0)</f>
        <v>177195480</v>
      </c>
      <c r="I80" s="800"/>
      <c r="J80" s="800"/>
      <c r="K80" s="801"/>
      <c r="M80" s="477"/>
    </row>
    <row r="81" spans="1:13" ht="30" customHeight="1" x14ac:dyDescent="0.25">
      <c r="A81" s="473" t="s">
        <v>367</v>
      </c>
      <c r="B81" s="796" t="s">
        <v>95</v>
      </c>
      <c r="C81" s="797"/>
      <c r="D81" s="798"/>
      <c r="E81" s="467" t="s">
        <v>7</v>
      </c>
      <c r="F81" s="468">
        <v>14.525000000000002</v>
      </c>
      <c r="G81" s="469">
        <f>+PRESUPUESTO!F77</f>
        <v>313691</v>
      </c>
      <c r="H81" s="799">
        <f t="shared" ref="H81:H84" si="19">ROUND(+F81*G81,0)</f>
        <v>4556362</v>
      </c>
      <c r="I81" s="800"/>
      <c r="J81" s="800"/>
      <c r="K81" s="801"/>
      <c r="M81" s="477"/>
    </row>
    <row r="82" spans="1:13" ht="42.75" customHeight="1" x14ac:dyDescent="0.25">
      <c r="A82" s="473" t="s">
        <v>368</v>
      </c>
      <c r="B82" s="796" t="s">
        <v>394</v>
      </c>
      <c r="C82" s="797"/>
      <c r="D82" s="798"/>
      <c r="E82" s="467" t="s">
        <v>7</v>
      </c>
      <c r="F82" s="468">
        <v>163</v>
      </c>
      <c r="G82" s="469">
        <f>+PRESUPUESTO!F78</f>
        <v>149057</v>
      </c>
      <c r="H82" s="799">
        <f t="shared" si="19"/>
        <v>24296291</v>
      </c>
      <c r="I82" s="800"/>
      <c r="J82" s="800"/>
      <c r="K82" s="801"/>
      <c r="M82" s="477"/>
    </row>
    <row r="83" spans="1:13" ht="32.25" customHeight="1" x14ac:dyDescent="0.25">
      <c r="A83" s="473" t="s">
        <v>369</v>
      </c>
      <c r="B83" s="796" t="s">
        <v>514</v>
      </c>
      <c r="C83" s="797"/>
      <c r="D83" s="798"/>
      <c r="E83" s="467" t="s">
        <v>7</v>
      </c>
      <c r="F83" s="468">
        <v>503</v>
      </c>
      <c r="G83" s="469">
        <f>+PRESUPUESTO!F79</f>
        <v>58627</v>
      </c>
      <c r="H83" s="799">
        <f t="shared" si="19"/>
        <v>29489381</v>
      </c>
      <c r="I83" s="800"/>
      <c r="J83" s="800"/>
      <c r="K83" s="801"/>
      <c r="M83" s="477"/>
    </row>
    <row r="84" spans="1:13" ht="68.25" customHeight="1" x14ac:dyDescent="0.25">
      <c r="A84" s="473" t="s">
        <v>370</v>
      </c>
      <c r="B84" s="796" t="s">
        <v>395</v>
      </c>
      <c r="C84" s="797"/>
      <c r="D84" s="798"/>
      <c r="E84" s="467" t="s">
        <v>7</v>
      </c>
      <c r="F84" s="468">
        <v>78</v>
      </c>
      <c r="G84" s="469">
        <f>+PRESUPUESTO!F80</f>
        <v>527694</v>
      </c>
      <c r="H84" s="799">
        <f t="shared" si="19"/>
        <v>41160132</v>
      </c>
      <c r="I84" s="800"/>
      <c r="J84" s="800"/>
      <c r="K84" s="801"/>
      <c r="M84" s="477"/>
    </row>
    <row r="85" spans="1:13" ht="15" customHeight="1" x14ac:dyDescent="0.25">
      <c r="A85" s="475">
        <v>2.2000000000000002</v>
      </c>
      <c r="B85" s="809" t="s">
        <v>8</v>
      </c>
      <c r="C85" s="810"/>
      <c r="D85" s="811"/>
      <c r="E85" s="812"/>
      <c r="F85" s="813"/>
      <c r="G85" s="813"/>
      <c r="H85" s="813"/>
      <c r="I85" s="813"/>
      <c r="J85" s="813"/>
      <c r="K85" s="814"/>
      <c r="M85" s="477"/>
    </row>
    <row r="86" spans="1:13" ht="45.75" customHeight="1" x14ac:dyDescent="0.25">
      <c r="A86" s="473" t="s">
        <v>371</v>
      </c>
      <c r="B86" s="796" t="s">
        <v>894</v>
      </c>
      <c r="C86" s="797"/>
      <c r="D86" s="798"/>
      <c r="E86" s="467" t="s">
        <v>7</v>
      </c>
      <c r="F86" s="468">
        <v>195</v>
      </c>
      <c r="G86" s="469">
        <f>+PRESUPUESTO!F82</f>
        <v>789199</v>
      </c>
      <c r="H86" s="799">
        <f t="shared" ref="H86:H88" si="20">ROUND(+F86*G86,0)</f>
        <v>153893805</v>
      </c>
      <c r="I86" s="800"/>
      <c r="J86" s="800"/>
      <c r="K86" s="801"/>
      <c r="M86" s="477"/>
    </row>
    <row r="87" spans="1:13" ht="45" customHeight="1" x14ac:dyDescent="0.25">
      <c r="A87" s="473" t="s">
        <v>372</v>
      </c>
      <c r="B87" s="796" t="s">
        <v>195</v>
      </c>
      <c r="C87" s="797"/>
      <c r="D87" s="798"/>
      <c r="E87" s="467" t="s">
        <v>7</v>
      </c>
      <c r="F87" s="468">
        <v>243</v>
      </c>
      <c r="G87" s="469">
        <f>+PRESUPUESTO!F83</f>
        <v>1456949</v>
      </c>
      <c r="H87" s="799">
        <f t="shared" si="20"/>
        <v>354038607</v>
      </c>
      <c r="I87" s="800"/>
      <c r="J87" s="800"/>
      <c r="K87" s="801"/>
      <c r="M87" s="477"/>
    </row>
    <row r="88" spans="1:13" ht="71.25" customHeight="1" x14ac:dyDescent="0.25">
      <c r="A88" s="473" t="s">
        <v>373</v>
      </c>
      <c r="B88" s="796" t="s">
        <v>895</v>
      </c>
      <c r="C88" s="797"/>
      <c r="D88" s="798"/>
      <c r="E88" s="467" t="s">
        <v>7</v>
      </c>
      <c r="F88" s="468">
        <v>234</v>
      </c>
      <c r="G88" s="469">
        <f>+PRESUPUESTO!F84</f>
        <v>931628</v>
      </c>
      <c r="H88" s="799">
        <f t="shared" si="20"/>
        <v>218000952</v>
      </c>
      <c r="I88" s="800"/>
      <c r="J88" s="800"/>
      <c r="K88" s="801"/>
      <c r="M88" s="477"/>
    </row>
    <row r="89" spans="1:13" ht="15" customHeight="1" x14ac:dyDescent="0.25">
      <c r="A89" s="475">
        <v>2.2999999999999998</v>
      </c>
      <c r="B89" s="809" t="s">
        <v>109</v>
      </c>
      <c r="C89" s="810"/>
      <c r="D89" s="811"/>
      <c r="E89" s="812"/>
      <c r="F89" s="813"/>
      <c r="G89" s="813"/>
      <c r="H89" s="813"/>
      <c r="I89" s="813"/>
      <c r="J89" s="813"/>
      <c r="K89" s="814"/>
      <c r="M89" s="477"/>
    </row>
    <row r="90" spans="1:13" ht="60" customHeight="1" x14ac:dyDescent="0.25">
      <c r="A90" s="473" t="s">
        <v>374</v>
      </c>
      <c r="B90" s="796" t="s">
        <v>780</v>
      </c>
      <c r="C90" s="797"/>
      <c r="D90" s="798"/>
      <c r="E90" s="467" t="s">
        <v>90</v>
      </c>
      <c r="F90" s="468">
        <v>45026.9712</v>
      </c>
      <c r="G90" s="469">
        <f>+PRESUPUESTO!F86</f>
        <v>3956</v>
      </c>
      <c r="H90" s="799">
        <f t="shared" ref="H90" si="21">ROUND(+F90*G90,0)</f>
        <v>178126698</v>
      </c>
      <c r="I90" s="800"/>
      <c r="J90" s="800"/>
      <c r="K90" s="801"/>
      <c r="M90" s="477"/>
    </row>
    <row r="91" spans="1:13" ht="15" customHeight="1" x14ac:dyDescent="0.25">
      <c r="A91" s="475">
        <v>2.4</v>
      </c>
      <c r="B91" s="809" t="s">
        <v>9</v>
      </c>
      <c r="C91" s="810"/>
      <c r="D91" s="811"/>
      <c r="E91" s="812"/>
      <c r="F91" s="813"/>
      <c r="G91" s="813"/>
      <c r="H91" s="813"/>
      <c r="I91" s="813"/>
      <c r="J91" s="813"/>
      <c r="K91" s="814"/>
      <c r="M91" s="477"/>
    </row>
    <row r="92" spans="1:13" x14ac:dyDescent="0.25">
      <c r="A92" s="473" t="s">
        <v>375</v>
      </c>
      <c r="B92" s="796" t="s">
        <v>190</v>
      </c>
      <c r="C92" s="797"/>
      <c r="D92" s="798"/>
      <c r="E92" s="467" t="s">
        <v>102</v>
      </c>
      <c r="F92" s="468">
        <v>1</v>
      </c>
      <c r="G92" s="469">
        <f>+PRESUPUESTO!F88</f>
        <v>2218200</v>
      </c>
      <c r="H92" s="799">
        <f t="shared" ref="H92" si="22">ROUND(+F92*G92,0)</f>
        <v>2218200</v>
      </c>
      <c r="I92" s="800"/>
      <c r="J92" s="800"/>
      <c r="K92" s="801"/>
      <c r="M92" s="477"/>
    </row>
    <row r="93" spans="1:13" x14ac:dyDescent="0.25">
      <c r="A93" s="473" t="s">
        <v>376</v>
      </c>
      <c r="B93" s="796" t="s">
        <v>318</v>
      </c>
      <c r="C93" s="797"/>
      <c r="D93" s="798"/>
      <c r="E93" s="467" t="s">
        <v>5</v>
      </c>
      <c r="F93" s="468">
        <v>698.2</v>
      </c>
      <c r="G93" s="469">
        <f>+PRESUPUESTO!F89</f>
        <v>30697</v>
      </c>
      <c r="H93" s="799">
        <f t="shared" ref="H93:H97" si="23">ROUND(+F93*G93,0)</f>
        <v>21432645</v>
      </c>
      <c r="I93" s="800"/>
      <c r="J93" s="800"/>
      <c r="K93" s="801"/>
      <c r="M93" s="477"/>
    </row>
    <row r="94" spans="1:13" x14ac:dyDescent="0.25">
      <c r="A94" s="473" t="s">
        <v>377</v>
      </c>
      <c r="B94" s="796" t="s">
        <v>322</v>
      </c>
      <c r="C94" s="797"/>
      <c r="D94" s="798"/>
      <c r="E94" s="467" t="s">
        <v>5</v>
      </c>
      <c r="F94" s="468">
        <v>85</v>
      </c>
      <c r="G94" s="469">
        <f>+PRESUPUESTO!F90</f>
        <v>82864</v>
      </c>
      <c r="H94" s="799">
        <f t="shared" si="23"/>
        <v>7043440</v>
      </c>
      <c r="I94" s="800"/>
      <c r="J94" s="800"/>
      <c r="K94" s="801"/>
      <c r="M94" s="477"/>
    </row>
    <row r="95" spans="1:13" ht="63.75" customHeight="1" x14ac:dyDescent="0.25">
      <c r="A95" s="476" t="s">
        <v>378</v>
      </c>
      <c r="B95" s="796" t="s">
        <v>410</v>
      </c>
      <c r="C95" s="797"/>
      <c r="D95" s="798"/>
      <c r="E95" s="470" t="s">
        <v>235</v>
      </c>
      <c r="F95" s="468">
        <v>3</v>
      </c>
      <c r="G95" s="469">
        <f>+PRESUPUESTO!F91</f>
        <v>396624</v>
      </c>
      <c r="H95" s="799">
        <f t="shared" si="23"/>
        <v>1189872</v>
      </c>
      <c r="I95" s="800"/>
      <c r="J95" s="800"/>
      <c r="K95" s="801"/>
      <c r="M95" s="477"/>
    </row>
    <row r="96" spans="1:13" ht="43.5" customHeight="1" x14ac:dyDescent="0.25">
      <c r="A96" s="476" t="s">
        <v>409</v>
      </c>
      <c r="B96" s="796" t="s">
        <v>419</v>
      </c>
      <c r="C96" s="797"/>
      <c r="D96" s="798"/>
      <c r="E96" s="470" t="s">
        <v>25</v>
      </c>
      <c r="F96" s="468">
        <v>4</v>
      </c>
      <c r="G96" s="469">
        <f>+PRESUPUESTO!F92</f>
        <v>592295</v>
      </c>
      <c r="H96" s="799">
        <f t="shared" si="23"/>
        <v>2369180</v>
      </c>
      <c r="I96" s="800"/>
      <c r="J96" s="800"/>
      <c r="K96" s="801"/>
      <c r="M96" s="477"/>
    </row>
    <row r="97" spans="1:13" ht="27.75" customHeight="1" x14ac:dyDescent="0.25">
      <c r="A97" s="476" t="s">
        <v>411</v>
      </c>
      <c r="B97" s="796" t="s">
        <v>492</v>
      </c>
      <c r="C97" s="797"/>
      <c r="D97" s="798"/>
      <c r="E97" s="470" t="s">
        <v>102</v>
      </c>
      <c r="F97" s="468">
        <v>1</v>
      </c>
      <c r="G97" s="469">
        <f>+PRESUPUESTO!F93</f>
        <v>15603733</v>
      </c>
      <c r="H97" s="799">
        <f t="shared" si="23"/>
        <v>15603733</v>
      </c>
      <c r="I97" s="800"/>
      <c r="J97" s="800"/>
      <c r="K97" s="801"/>
      <c r="M97" s="477"/>
    </row>
    <row r="98" spans="1:13" ht="15" customHeight="1" x14ac:dyDescent="0.25">
      <c r="A98" s="788" t="s">
        <v>201</v>
      </c>
      <c r="B98" s="789"/>
      <c r="C98" s="789"/>
      <c r="D98" s="789"/>
      <c r="E98" s="789"/>
      <c r="F98" s="789"/>
      <c r="G98" s="789"/>
      <c r="H98" s="789"/>
      <c r="I98" s="789"/>
      <c r="J98" s="789"/>
      <c r="K98" s="790"/>
      <c r="M98" s="477"/>
    </row>
    <row r="99" spans="1:13" ht="15" customHeight="1" x14ac:dyDescent="0.25">
      <c r="A99" s="475">
        <v>3.1</v>
      </c>
      <c r="B99" s="809" t="s">
        <v>6</v>
      </c>
      <c r="C99" s="810"/>
      <c r="D99" s="811"/>
      <c r="E99" s="812"/>
      <c r="F99" s="813"/>
      <c r="G99" s="813"/>
      <c r="H99" s="813"/>
      <c r="I99" s="813"/>
      <c r="J99" s="813"/>
      <c r="K99" s="814"/>
      <c r="M99" s="477"/>
    </row>
    <row r="100" spans="1:13" ht="15.75" customHeight="1" x14ac:dyDescent="0.25">
      <c r="A100" s="473" t="s">
        <v>379</v>
      </c>
      <c r="B100" s="796" t="s">
        <v>220</v>
      </c>
      <c r="C100" s="797"/>
      <c r="D100" s="798"/>
      <c r="E100" s="467" t="s">
        <v>7</v>
      </c>
      <c r="F100" s="468">
        <v>1063</v>
      </c>
      <c r="G100" s="469">
        <f>+PRESUPUESTO!F96</f>
        <v>25203</v>
      </c>
      <c r="H100" s="799">
        <f t="shared" ref="H100" si="24">ROUND(+F100*G100,0)</f>
        <v>26790789</v>
      </c>
      <c r="I100" s="800"/>
      <c r="J100" s="800"/>
      <c r="K100" s="801"/>
      <c r="M100" s="477"/>
    </row>
    <row r="101" spans="1:13" ht="72" customHeight="1" x14ac:dyDescent="0.25">
      <c r="A101" s="473" t="s">
        <v>380</v>
      </c>
      <c r="B101" s="796" t="s">
        <v>286</v>
      </c>
      <c r="C101" s="797"/>
      <c r="D101" s="798"/>
      <c r="E101" s="467" t="s">
        <v>5</v>
      </c>
      <c r="F101" s="468">
        <v>323</v>
      </c>
      <c r="G101" s="469">
        <f>+PRESUPUESTO!F97</f>
        <v>35115</v>
      </c>
      <c r="H101" s="799">
        <f t="shared" ref="H101:H103" si="25">ROUND(+F101*G101,0)</f>
        <v>11342145</v>
      </c>
      <c r="I101" s="800"/>
      <c r="J101" s="800"/>
      <c r="K101" s="801"/>
      <c r="M101" s="477"/>
    </row>
    <row r="102" spans="1:13" x14ac:dyDescent="0.25">
      <c r="A102" s="473" t="s">
        <v>381</v>
      </c>
      <c r="B102" s="796" t="s">
        <v>472</v>
      </c>
      <c r="C102" s="797"/>
      <c r="D102" s="798"/>
      <c r="E102" s="467" t="s">
        <v>7</v>
      </c>
      <c r="F102" s="468">
        <v>1170</v>
      </c>
      <c r="G102" s="469">
        <f>+PRESUPUESTO!F98</f>
        <v>15235</v>
      </c>
      <c r="H102" s="799">
        <f t="shared" si="25"/>
        <v>17824950</v>
      </c>
      <c r="I102" s="800"/>
      <c r="J102" s="800"/>
      <c r="K102" s="801"/>
      <c r="M102" s="477"/>
    </row>
    <row r="103" spans="1:13" ht="60.75" customHeight="1" x14ac:dyDescent="0.25">
      <c r="A103" s="473" t="s">
        <v>382</v>
      </c>
      <c r="B103" s="796" t="s">
        <v>384</v>
      </c>
      <c r="C103" s="797"/>
      <c r="D103" s="798"/>
      <c r="E103" s="467" t="s">
        <v>7</v>
      </c>
      <c r="F103" s="468">
        <v>193</v>
      </c>
      <c r="G103" s="469">
        <f>+PRESUPUESTO!F99</f>
        <v>54198</v>
      </c>
      <c r="H103" s="799">
        <f t="shared" si="25"/>
        <v>10460214</v>
      </c>
      <c r="I103" s="800"/>
      <c r="J103" s="800"/>
      <c r="K103" s="801"/>
      <c r="M103" s="477"/>
    </row>
    <row r="104" spans="1:13" x14ac:dyDescent="0.25">
      <c r="A104" s="815"/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M104" s="477"/>
    </row>
    <row r="105" spans="1:13" s="719" customFormat="1" ht="12.75" customHeight="1" x14ac:dyDescent="0.3">
      <c r="A105" s="744" t="s">
        <v>896</v>
      </c>
      <c r="B105" s="744"/>
      <c r="C105" s="744"/>
      <c r="D105" s="744"/>
      <c r="E105" s="744"/>
      <c r="F105" s="744"/>
      <c r="G105" s="744"/>
      <c r="H105" s="745">
        <f>ROUND(SUM(H14:K103),0)</f>
        <v>2334941646</v>
      </c>
      <c r="I105" s="745"/>
      <c r="J105" s="745"/>
      <c r="K105" s="745"/>
      <c r="L105" s="718"/>
      <c r="M105" s="718"/>
    </row>
    <row r="106" spans="1:13" s="719" customFormat="1" ht="7.5" customHeight="1" x14ac:dyDescent="0.3">
      <c r="A106" s="733"/>
      <c r="B106" s="733"/>
      <c r="C106" s="733"/>
      <c r="D106" s="733"/>
      <c r="E106" s="734"/>
      <c r="F106" s="735"/>
      <c r="G106" s="734"/>
      <c r="H106" s="734"/>
      <c r="I106" s="734"/>
      <c r="J106" s="734"/>
      <c r="K106" s="734"/>
    </row>
    <row r="107" spans="1:13" s="719" customFormat="1" ht="12.75" customHeight="1" x14ac:dyDescent="0.3">
      <c r="A107" s="825" t="s">
        <v>897</v>
      </c>
      <c r="B107" s="826"/>
      <c r="C107" s="826"/>
      <c r="D107" s="826"/>
      <c r="E107" s="826"/>
      <c r="F107" s="827"/>
      <c r="G107" s="720">
        <v>0.27</v>
      </c>
      <c r="H107" s="828">
        <f>+ROUND(H105*0.27,0)</f>
        <v>630434244</v>
      </c>
      <c r="I107" s="829"/>
      <c r="J107" s="829"/>
      <c r="K107" s="830"/>
    </row>
    <row r="108" spans="1:13" s="719" customFormat="1" ht="12.75" customHeight="1" x14ac:dyDescent="0.3">
      <c r="A108" s="825" t="s">
        <v>898</v>
      </c>
      <c r="B108" s="826"/>
      <c r="C108" s="826"/>
      <c r="D108" s="826"/>
      <c r="E108" s="826"/>
      <c r="F108" s="827"/>
      <c r="G108" s="720">
        <v>0</v>
      </c>
      <c r="H108" s="828">
        <f>+G108</f>
        <v>0</v>
      </c>
      <c r="I108" s="829"/>
      <c r="J108" s="829"/>
      <c r="K108" s="830"/>
    </row>
    <row r="109" spans="1:13" s="719" customFormat="1" ht="15" customHeight="1" x14ac:dyDescent="0.3">
      <c r="A109" s="825" t="s">
        <v>899</v>
      </c>
      <c r="B109" s="826"/>
      <c r="C109" s="826"/>
      <c r="D109" s="826"/>
      <c r="E109" s="826"/>
      <c r="F109" s="827"/>
      <c r="G109" s="720">
        <v>0.05</v>
      </c>
      <c r="H109" s="828">
        <f>ROUND(+H105*0.05,0)</f>
        <v>116747082</v>
      </c>
      <c r="I109" s="829"/>
      <c r="J109" s="829"/>
      <c r="K109" s="830"/>
    </row>
    <row r="110" spans="1:13" s="719" customFormat="1" ht="12.75" customHeight="1" x14ac:dyDescent="0.3">
      <c r="A110" s="825" t="s">
        <v>900</v>
      </c>
      <c r="B110" s="826"/>
      <c r="C110" s="826"/>
      <c r="D110" s="826"/>
      <c r="E110" s="826"/>
      <c r="F110" s="827"/>
      <c r="G110" s="720">
        <v>0.19</v>
      </c>
      <c r="H110" s="828">
        <f>ROUND(H109*G110,0)</f>
        <v>22181946</v>
      </c>
      <c r="I110" s="829"/>
      <c r="J110" s="829"/>
      <c r="K110" s="830"/>
    </row>
    <row r="111" spans="1:13" s="719" customFormat="1" ht="4.5" customHeight="1" x14ac:dyDescent="0.3">
      <c r="A111" s="733"/>
      <c r="B111" s="733"/>
      <c r="C111" s="733"/>
      <c r="D111" s="733"/>
      <c r="E111" s="736"/>
      <c r="F111" s="737"/>
      <c r="G111" s="734"/>
      <c r="H111" s="734"/>
      <c r="I111" s="734"/>
      <c r="J111" s="734"/>
      <c r="K111" s="734"/>
    </row>
    <row r="112" spans="1:13" s="719" customFormat="1" ht="12.75" customHeight="1" x14ac:dyDescent="0.3">
      <c r="A112" s="744" t="s">
        <v>919</v>
      </c>
      <c r="B112" s="744"/>
      <c r="C112" s="744"/>
      <c r="D112" s="744"/>
      <c r="E112" s="744"/>
      <c r="F112" s="744"/>
      <c r="G112" s="744"/>
      <c r="H112" s="831">
        <f>+SUM(H105,H107:K110)</f>
        <v>3104304918</v>
      </c>
      <c r="I112" s="831"/>
      <c r="J112" s="831"/>
      <c r="K112" s="831"/>
    </row>
    <row r="113" spans="1:13" s="719" customFormat="1" ht="7.5" customHeight="1" x14ac:dyDescent="0.3">
      <c r="A113" s="733"/>
      <c r="B113" s="733"/>
      <c r="C113" s="733"/>
      <c r="D113" s="733"/>
      <c r="E113" s="733"/>
      <c r="F113" s="738"/>
      <c r="G113" s="739"/>
      <c r="H113" s="733"/>
      <c r="I113" s="733"/>
      <c r="J113" s="733"/>
      <c r="K113" s="733"/>
    </row>
    <row r="114" spans="1:13" s="719" customFormat="1" ht="41.4" x14ac:dyDescent="0.3">
      <c r="A114" s="723" t="s">
        <v>920</v>
      </c>
      <c r="B114" s="723" t="s">
        <v>882</v>
      </c>
      <c r="C114" s="723" t="s">
        <v>235</v>
      </c>
      <c r="D114" s="723" t="s">
        <v>921</v>
      </c>
      <c r="E114" s="723" t="s">
        <v>946</v>
      </c>
      <c r="F114" s="723" t="s">
        <v>945</v>
      </c>
      <c r="G114" s="723" t="s">
        <v>922</v>
      </c>
      <c r="H114" s="768" t="s">
        <v>923</v>
      </c>
      <c r="I114" s="769"/>
      <c r="J114" s="769"/>
      <c r="K114" s="770"/>
    </row>
    <row r="115" spans="1:13" s="719" customFormat="1" ht="29.25" customHeight="1" x14ac:dyDescent="0.3">
      <c r="A115" s="724">
        <v>4</v>
      </c>
      <c r="B115" s="771" t="s">
        <v>924</v>
      </c>
      <c r="C115" s="772"/>
      <c r="D115" s="772"/>
      <c r="E115" s="772"/>
      <c r="F115" s="772"/>
      <c r="G115" s="772"/>
      <c r="H115" s="773">
        <f>+SUM(H116:K124)</f>
        <v>21276852</v>
      </c>
      <c r="I115" s="774"/>
      <c r="J115" s="774"/>
      <c r="K115" s="775"/>
    </row>
    <row r="116" spans="1:13" s="719" customFormat="1" ht="27.6" x14ac:dyDescent="0.3">
      <c r="A116" s="725">
        <v>4.01</v>
      </c>
      <c r="B116" s="726" t="s">
        <v>925</v>
      </c>
      <c r="C116" s="725" t="s">
        <v>926</v>
      </c>
      <c r="D116" s="727">
        <f>0.1/3</f>
        <v>3.3333333333333333E-2</v>
      </c>
      <c r="E116" s="725">
        <v>80</v>
      </c>
      <c r="F116" s="725">
        <v>6.5</v>
      </c>
      <c r="G116" s="728">
        <v>357000</v>
      </c>
      <c r="H116" s="765">
        <f>+ROUND(G116*F116*E116*D116,0)</f>
        <v>6188000</v>
      </c>
      <c r="I116" s="765"/>
      <c r="J116" s="765"/>
      <c r="K116" s="765"/>
      <c r="M116" s="740"/>
    </row>
    <row r="117" spans="1:13" s="719" customFormat="1" ht="27.6" x14ac:dyDescent="0.3">
      <c r="A117" s="725">
        <v>4.0199999999999996</v>
      </c>
      <c r="B117" s="729" t="s">
        <v>927</v>
      </c>
      <c r="C117" s="725" t="s">
        <v>928</v>
      </c>
      <c r="D117" s="727">
        <v>0.10500000000000001</v>
      </c>
      <c r="E117" s="725">
        <v>80</v>
      </c>
      <c r="F117" s="725">
        <v>6.5</v>
      </c>
      <c r="G117" s="728">
        <v>7110</v>
      </c>
      <c r="H117" s="765">
        <f t="shared" ref="H117:H124" si="26">+ROUND(G117*F117*E117*D117,0)</f>
        <v>388206</v>
      </c>
      <c r="I117" s="765"/>
      <c r="J117" s="765"/>
      <c r="K117" s="765"/>
    </row>
    <row r="118" spans="1:13" s="719" customFormat="1" ht="13.8" x14ac:dyDescent="0.3">
      <c r="A118" s="725">
        <v>4.03</v>
      </c>
      <c r="B118" s="729" t="s">
        <v>929</v>
      </c>
      <c r="C118" s="725" t="s">
        <v>930</v>
      </c>
      <c r="D118" s="727">
        <v>0.1</v>
      </c>
      <c r="E118" s="725">
        <v>80</v>
      </c>
      <c r="F118" s="725">
        <v>6.5</v>
      </c>
      <c r="G118" s="728">
        <v>49197.25</v>
      </c>
      <c r="H118" s="765">
        <f t="shared" si="26"/>
        <v>2558257</v>
      </c>
      <c r="I118" s="765"/>
      <c r="J118" s="765"/>
      <c r="K118" s="765"/>
    </row>
    <row r="119" spans="1:13" s="719" customFormat="1" ht="27.6" x14ac:dyDescent="0.3">
      <c r="A119" s="725">
        <v>4.04</v>
      </c>
      <c r="B119" s="729" t="s">
        <v>931</v>
      </c>
      <c r="C119" s="725" t="s">
        <v>930</v>
      </c>
      <c r="D119" s="727">
        <v>0.1</v>
      </c>
      <c r="E119" s="725">
        <v>80</v>
      </c>
      <c r="F119" s="725">
        <v>6.5</v>
      </c>
      <c r="G119" s="728">
        <v>38328.75</v>
      </c>
      <c r="H119" s="765">
        <f t="shared" si="26"/>
        <v>1993095</v>
      </c>
      <c r="I119" s="765"/>
      <c r="J119" s="765"/>
      <c r="K119" s="765"/>
    </row>
    <row r="120" spans="1:13" s="719" customFormat="1" ht="41.4" x14ac:dyDescent="0.3">
      <c r="A120" s="723" t="s">
        <v>920</v>
      </c>
      <c r="B120" s="723" t="s">
        <v>882</v>
      </c>
      <c r="C120" s="723" t="s">
        <v>235</v>
      </c>
      <c r="D120" s="723" t="s">
        <v>921</v>
      </c>
      <c r="E120" s="723" t="s">
        <v>946</v>
      </c>
      <c r="F120" s="723" t="s">
        <v>945</v>
      </c>
      <c r="G120" s="723" t="s">
        <v>922</v>
      </c>
      <c r="H120" s="768" t="s">
        <v>923</v>
      </c>
      <c r="I120" s="769"/>
      <c r="J120" s="769"/>
      <c r="K120" s="770"/>
    </row>
    <row r="121" spans="1:13" s="719" customFormat="1" ht="13.8" x14ac:dyDescent="0.3">
      <c r="A121" s="725">
        <v>4.05</v>
      </c>
      <c r="B121" s="729" t="s">
        <v>932</v>
      </c>
      <c r="C121" s="725" t="s">
        <v>930</v>
      </c>
      <c r="D121" s="727">
        <v>0.05</v>
      </c>
      <c r="E121" s="725">
        <v>80</v>
      </c>
      <c r="F121" s="725">
        <v>6.5</v>
      </c>
      <c r="G121" s="728">
        <v>22706.25</v>
      </c>
      <c r="H121" s="765">
        <f t="shared" si="26"/>
        <v>590363</v>
      </c>
      <c r="I121" s="765"/>
      <c r="J121" s="765"/>
      <c r="K121" s="765"/>
    </row>
    <row r="122" spans="1:13" s="719" customFormat="1" ht="27.6" x14ac:dyDescent="0.3">
      <c r="A122" s="725">
        <v>4.0599999999999996</v>
      </c>
      <c r="B122" s="726" t="s">
        <v>933</v>
      </c>
      <c r="C122" s="725" t="s">
        <v>926</v>
      </c>
      <c r="D122" s="727">
        <v>6</v>
      </c>
      <c r="E122" s="725">
        <v>80</v>
      </c>
      <c r="F122" s="725">
        <v>6.5</v>
      </c>
      <c r="G122" s="728">
        <v>650</v>
      </c>
      <c r="H122" s="765">
        <f t="shared" si="26"/>
        <v>2028000</v>
      </c>
      <c r="I122" s="765"/>
      <c r="J122" s="765"/>
      <c r="K122" s="765"/>
    </row>
    <row r="123" spans="1:13" s="719" customFormat="1" ht="27.6" x14ac:dyDescent="0.3">
      <c r="A123" s="725">
        <v>4.07</v>
      </c>
      <c r="B123" s="729" t="s">
        <v>934</v>
      </c>
      <c r="C123" s="725" t="s">
        <v>926</v>
      </c>
      <c r="D123" s="727">
        <v>24</v>
      </c>
      <c r="E123" s="725">
        <v>80</v>
      </c>
      <c r="F123" s="725">
        <v>6.5</v>
      </c>
      <c r="G123" s="728">
        <v>400</v>
      </c>
      <c r="H123" s="765">
        <f t="shared" si="26"/>
        <v>4992000</v>
      </c>
      <c r="I123" s="765"/>
      <c r="J123" s="765"/>
      <c r="K123" s="765"/>
    </row>
    <row r="124" spans="1:13" s="719" customFormat="1" ht="27.6" x14ac:dyDescent="0.3">
      <c r="A124" s="725">
        <v>4.08</v>
      </c>
      <c r="B124" s="729" t="s">
        <v>935</v>
      </c>
      <c r="C124" s="725" t="s">
        <v>926</v>
      </c>
      <c r="D124" s="727">
        <f>19.2/20</f>
        <v>0.96</v>
      </c>
      <c r="E124" s="725">
        <v>80</v>
      </c>
      <c r="F124" s="725">
        <v>6.5</v>
      </c>
      <c r="G124" s="728">
        <v>5086</v>
      </c>
      <c r="H124" s="765">
        <f t="shared" si="26"/>
        <v>2538931</v>
      </c>
      <c r="I124" s="765"/>
      <c r="J124" s="765"/>
      <c r="K124" s="765"/>
    </row>
    <row r="125" spans="1:13" s="719" customFormat="1" ht="13.8" x14ac:dyDescent="0.3">
      <c r="A125" s="730"/>
      <c r="B125" s="730"/>
      <c r="C125" s="730"/>
      <c r="D125" s="730"/>
      <c r="E125" s="730"/>
      <c r="F125" s="730"/>
    </row>
    <row r="126" spans="1:13" s="719" customFormat="1" ht="13.8" x14ac:dyDescent="0.3">
      <c r="A126" s="723" t="s">
        <v>920</v>
      </c>
      <c r="B126" s="768" t="s">
        <v>882</v>
      </c>
      <c r="C126" s="769"/>
      <c r="D126" s="770"/>
      <c r="E126" s="723" t="s">
        <v>235</v>
      </c>
      <c r="F126" s="723" t="s">
        <v>17</v>
      </c>
      <c r="G126" s="723" t="s">
        <v>922</v>
      </c>
      <c r="H126" s="768" t="s">
        <v>923</v>
      </c>
      <c r="I126" s="769"/>
      <c r="J126" s="769"/>
      <c r="K126" s="770"/>
    </row>
    <row r="127" spans="1:13" s="719" customFormat="1" ht="26.25" customHeight="1" x14ac:dyDescent="0.3">
      <c r="A127" s="731">
        <v>5</v>
      </c>
      <c r="B127" s="771" t="s">
        <v>936</v>
      </c>
      <c r="C127" s="772"/>
      <c r="D127" s="772"/>
      <c r="E127" s="772"/>
      <c r="F127" s="772"/>
      <c r="G127" s="772"/>
      <c r="H127" s="773">
        <f>+SUM(H128:K130)</f>
        <v>1030650</v>
      </c>
      <c r="I127" s="774"/>
      <c r="J127" s="774"/>
      <c r="K127" s="775"/>
    </row>
    <row r="128" spans="1:13" s="719" customFormat="1" ht="15" customHeight="1" x14ac:dyDescent="0.3">
      <c r="A128" s="725">
        <v>5.01</v>
      </c>
      <c r="B128" s="764" t="s">
        <v>937</v>
      </c>
      <c r="C128" s="764"/>
      <c r="D128" s="764"/>
      <c r="E128" s="725" t="s">
        <v>938</v>
      </c>
      <c r="F128" s="727">
        <v>2</v>
      </c>
      <c r="G128" s="728">
        <v>140950</v>
      </c>
      <c r="H128" s="765">
        <f>+ROUND(G128*F128,0)</f>
        <v>281900</v>
      </c>
      <c r="I128" s="765"/>
      <c r="J128" s="765"/>
      <c r="K128" s="765"/>
    </row>
    <row r="129" spans="1:13" s="719" customFormat="1" ht="12.75" customHeight="1" x14ac:dyDescent="0.3">
      <c r="A129" s="725">
        <v>5.0199999999999996</v>
      </c>
      <c r="B129" s="764" t="s">
        <v>939</v>
      </c>
      <c r="C129" s="764"/>
      <c r="D129" s="764"/>
      <c r="E129" s="725" t="s">
        <v>205</v>
      </c>
      <c r="F129" s="727">
        <v>2</v>
      </c>
      <c r="G129" s="728">
        <v>339975</v>
      </c>
      <c r="H129" s="765">
        <f t="shared" ref="H129:H130" si="27">+ROUND(G129*F129,0)</f>
        <v>679950</v>
      </c>
      <c r="I129" s="765"/>
      <c r="J129" s="765"/>
      <c r="K129" s="765"/>
    </row>
    <row r="130" spans="1:13" s="719" customFormat="1" ht="15" customHeight="1" x14ac:dyDescent="0.3">
      <c r="A130" s="725">
        <v>5.03</v>
      </c>
      <c r="B130" s="764" t="s">
        <v>940</v>
      </c>
      <c r="C130" s="764"/>
      <c r="D130" s="764"/>
      <c r="E130" s="725" t="s">
        <v>205</v>
      </c>
      <c r="F130" s="727">
        <v>1</v>
      </c>
      <c r="G130" s="728">
        <v>68800</v>
      </c>
      <c r="H130" s="765">
        <f t="shared" si="27"/>
        <v>68800</v>
      </c>
      <c r="I130" s="765"/>
      <c r="J130" s="765"/>
      <c r="K130" s="765"/>
    </row>
    <row r="131" spans="1:13" s="719" customFormat="1" ht="13.8" x14ac:dyDescent="0.3">
      <c r="F131" s="721"/>
      <c r="G131" s="722"/>
    </row>
    <row r="132" spans="1:13" s="719" customFormat="1" ht="29.25" customHeight="1" x14ac:dyDescent="0.3">
      <c r="A132" s="766" t="s">
        <v>941</v>
      </c>
      <c r="B132" s="766"/>
      <c r="C132" s="766"/>
      <c r="D132" s="766"/>
      <c r="E132" s="766"/>
      <c r="F132" s="766"/>
      <c r="G132" s="766"/>
      <c r="H132" s="766"/>
      <c r="I132" s="766"/>
      <c r="J132" s="766"/>
      <c r="K132" s="766"/>
    </row>
    <row r="133" spans="1:13" s="719" customFormat="1" ht="13.8" x14ac:dyDescent="0.3">
      <c r="A133" s="732"/>
      <c r="B133" s="732"/>
      <c r="C133" s="732"/>
      <c r="D133" s="732"/>
      <c r="E133" s="732"/>
      <c r="F133" s="732"/>
      <c r="G133" s="732"/>
      <c r="H133" s="732"/>
      <c r="I133" s="732"/>
      <c r="J133" s="732"/>
      <c r="K133" s="732"/>
    </row>
    <row r="134" spans="1:13" s="719" customFormat="1" ht="15.75" customHeight="1" x14ac:dyDescent="0.3">
      <c r="A134" s="744" t="s">
        <v>942</v>
      </c>
      <c r="B134" s="744"/>
      <c r="C134" s="744"/>
      <c r="D134" s="744"/>
      <c r="E134" s="744"/>
      <c r="F134" s="744"/>
      <c r="G134" s="744"/>
      <c r="H134" s="767">
        <f>+H127+H115</f>
        <v>22307502</v>
      </c>
      <c r="I134" s="745"/>
      <c r="J134" s="745"/>
      <c r="K134" s="745"/>
    </row>
    <row r="135" spans="1:13" s="719" customFormat="1" ht="15.75" customHeight="1" x14ac:dyDescent="0.3">
      <c r="A135" s="744" t="s">
        <v>943</v>
      </c>
      <c r="B135" s="744"/>
      <c r="C135" s="744"/>
      <c r="D135" s="744"/>
      <c r="E135" s="744"/>
      <c r="F135" s="744"/>
      <c r="G135" s="744"/>
      <c r="H135" s="767">
        <f>+H112</f>
        <v>3104304918</v>
      </c>
      <c r="I135" s="745"/>
      <c r="J135" s="745"/>
      <c r="K135" s="745"/>
    </row>
    <row r="136" spans="1:13" s="719" customFormat="1" ht="15.75" customHeight="1" x14ac:dyDescent="0.3">
      <c r="A136" s="744" t="s">
        <v>944</v>
      </c>
      <c r="B136" s="744"/>
      <c r="C136" s="744"/>
      <c r="D136" s="744"/>
      <c r="E136" s="744"/>
      <c r="F136" s="744"/>
      <c r="G136" s="744"/>
      <c r="H136" s="745">
        <f>+H134+H135</f>
        <v>3126612420</v>
      </c>
      <c r="I136" s="745"/>
      <c r="J136" s="745"/>
      <c r="K136" s="745"/>
      <c r="M136" s="743"/>
    </row>
    <row r="137" spans="1:13" ht="15.75" customHeight="1" x14ac:dyDescent="0.25">
      <c r="A137" s="717"/>
      <c r="B137" s="717"/>
      <c r="C137" s="717"/>
      <c r="D137" s="717"/>
      <c r="E137" s="717"/>
      <c r="F137" s="717"/>
      <c r="G137" s="717"/>
      <c r="H137" s="717"/>
      <c r="I137" s="717"/>
      <c r="J137" s="717"/>
      <c r="K137" s="717"/>
    </row>
    <row r="138" spans="1:13" x14ac:dyDescent="0.25">
      <c r="A138" s="819" t="s">
        <v>901</v>
      </c>
      <c r="B138" s="820"/>
      <c r="C138" s="820"/>
      <c r="D138" s="820"/>
      <c r="E138" s="820"/>
      <c r="F138" s="821"/>
      <c r="G138" s="778" t="s">
        <v>902</v>
      </c>
      <c r="H138" s="778"/>
      <c r="I138" s="778"/>
      <c r="J138" s="778"/>
      <c r="K138" s="778"/>
    </row>
    <row r="139" spans="1:13" ht="22.5" customHeight="1" x14ac:dyDescent="0.25">
      <c r="A139" s="478" t="s">
        <v>905</v>
      </c>
      <c r="B139" s="822" t="s">
        <v>906</v>
      </c>
      <c r="C139" s="823"/>
      <c r="D139" s="823"/>
      <c r="E139" s="823"/>
      <c r="F139" s="824"/>
      <c r="G139" s="817"/>
      <c r="H139" s="817"/>
      <c r="I139" s="817"/>
      <c r="J139" s="817"/>
      <c r="K139" s="817"/>
    </row>
    <row r="140" spans="1:13" ht="26.25" customHeight="1" x14ac:dyDescent="0.25">
      <c r="A140" s="478" t="s">
        <v>903</v>
      </c>
      <c r="B140" s="816" t="s">
        <v>907</v>
      </c>
      <c r="C140" s="816"/>
      <c r="D140" s="816"/>
      <c r="E140" s="816"/>
      <c r="F140" s="816"/>
      <c r="G140" s="817"/>
      <c r="H140" s="817"/>
      <c r="I140" s="817"/>
      <c r="J140" s="817"/>
      <c r="K140" s="817"/>
    </row>
    <row r="141" spans="1:13" ht="24.75" customHeight="1" x14ac:dyDescent="0.25">
      <c r="A141" s="478" t="s">
        <v>904</v>
      </c>
      <c r="B141" s="816" t="s">
        <v>915</v>
      </c>
      <c r="C141" s="816"/>
      <c r="D141" s="816"/>
      <c r="E141" s="816"/>
      <c r="F141" s="816"/>
      <c r="G141" s="817"/>
      <c r="H141" s="817"/>
      <c r="I141" s="817"/>
      <c r="J141" s="817"/>
      <c r="K141" s="817"/>
    </row>
    <row r="143" spans="1:13" x14ac:dyDescent="0.25">
      <c r="A143" s="818" t="s">
        <v>916</v>
      </c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</row>
    <row r="144" spans="1:13" x14ac:dyDescent="0.25">
      <c r="A144" s="818"/>
      <c r="B144" s="818"/>
      <c r="C144" s="818"/>
      <c r="D144" s="818"/>
      <c r="E144" s="818"/>
      <c r="F144" s="818"/>
      <c r="G144" s="818"/>
      <c r="H144" s="818"/>
      <c r="I144" s="818"/>
      <c r="J144" s="818"/>
      <c r="K144" s="818"/>
    </row>
    <row r="145" spans="1:11" ht="43.5" customHeight="1" x14ac:dyDescent="0.25">
      <c r="A145" s="818"/>
      <c r="B145" s="818"/>
      <c r="C145" s="818"/>
      <c r="D145" s="818"/>
      <c r="E145" s="818"/>
      <c r="F145" s="818"/>
      <c r="G145" s="818"/>
      <c r="H145" s="818"/>
      <c r="I145" s="818"/>
      <c r="J145" s="818"/>
      <c r="K145" s="818"/>
    </row>
  </sheetData>
  <mergeCells count="251">
    <mergeCell ref="A104:K104"/>
    <mergeCell ref="B141:F141"/>
    <mergeCell ref="G141:K141"/>
    <mergeCell ref="A143:K145"/>
    <mergeCell ref="A138:F138"/>
    <mergeCell ref="G138:K138"/>
    <mergeCell ref="B139:F139"/>
    <mergeCell ref="G139:K139"/>
    <mergeCell ref="B140:F140"/>
    <mergeCell ref="G140:K140"/>
    <mergeCell ref="A105:G105"/>
    <mergeCell ref="H105:K105"/>
    <mergeCell ref="A107:F107"/>
    <mergeCell ref="H107:K107"/>
    <mergeCell ref="A108:F108"/>
    <mergeCell ref="H108:K108"/>
    <mergeCell ref="A109:F109"/>
    <mergeCell ref="H109:K109"/>
    <mergeCell ref="A110:F110"/>
    <mergeCell ref="H110:K110"/>
    <mergeCell ref="B127:G127"/>
    <mergeCell ref="H127:K127"/>
    <mergeCell ref="A112:G112"/>
    <mergeCell ref="H112:K112"/>
    <mergeCell ref="B103:D103"/>
    <mergeCell ref="H103:K103"/>
    <mergeCell ref="B100:D100"/>
    <mergeCell ref="H100:K100"/>
    <mergeCell ref="B101:D101"/>
    <mergeCell ref="H101:K101"/>
    <mergeCell ref="B102:D102"/>
    <mergeCell ref="H102:K102"/>
    <mergeCell ref="B96:D96"/>
    <mergeCell ref="H96:K96"/>
    <mergeCell ref="B97:D97"/>
    <mergeCell ref="H97:K97"/>
    <mergeCell ref="A98:K98"/>
    <mergeCell ref="B99:D99"/>
    <mergeCell ref="E99:K99"/>
    <mergeCell ref="B93:D93"/>
    <mergeCell ref="H93:K93"/>
    <mergeCell ref="B94:D94"/>
    <mergeCell ref="H94:K94"/>
    <mergeCell ref="B95:D95"/>
    <mergeCell ref="H95:K95"/>
    <mergeCell ref="B90:D90"/>
    <mergeCell ref="H90:K90"/>
    <mergeCell ref="B91:D91"/>
    <mergeCell ref="E91:K91"/>
    <mergeCell ref="B92:D92"/>
    <mergeCell ref="H92:K92"/>
    <mergeCell ref="B87:D87"/>
    <mergeCell ref="H87:K87"/>
    <mergeCell ref="B88:D88"/>
    <mergeCell ref="H88:K88"/>
    <mergeCell ref="B89:D89"/>
    <mergeCell ref="E89:K89"/>
    <mergeCell ref="B84:D84"/>
    <mergeCell ref="H84:K84"/>
    <mergeCell ref="B85:D85"/>
    <mergeCell ref="E85:K85"/>
    <mergeCell ref="B86:D86"/>
    <mergeCell ref="H86:K86"/>
    <mergeCell ref="B81:D81"/>
    <mergeCell ref="H81:K81"/>
    <mergeCell ref="B82:D82"/>
    <mergeCell ref="H82:K82"/>
    <mergeCell ref="B83:D83"/>
    <mergeCell ref="H83:K83"/>
    <mergeCell ref="B77:D77"/>
    <mergeCell ref="H77:K77"/>
    <mergeCell ref="A78:K78"/>
    <mergeCell ref="B79:D79"/>
    <mergeCell ref="E79:K79"/>
    <mergeCell ref="B80:D80"/>
    <mergeCell ref="H80:K80"/>
    <mergeCell ref="B74:D74"/>
    <mergeCell ref="H74:K74"/>
    <mergeCell ref="B75:D75"/>
    <mergeCell ref="H75:K75"/>
    <mergeCell ref="B76:D76"/>
    <mergeCell ref="H76:K76"/>
    <mergeCell ref="B71:D71"/>
    <mergeCell ref="H71:K71"/>
    <mergeCell ref="B72:D72"/>
    <mergeCell ref="H72:K72"/>
    <mergeCell ref="B73:D73"/>
    <mergeCell ref="H73:K73"/>
    <mergeCell ref="B68:D68"/>
    <mergeCell ref="H68:K68"/>
    <mergeCell ref="B69:D69"/>
    <mergeCell ref="H69:K69"/>
    <mergeCell ref="B70:D70"/>
    <mergeCell ref="H70:K70"/>
    <mergeCell ref="B65:D65"/>
    <mergeCell ref="H65:K65"/>
    <mergeCell ref="B66:D66"/>
    <mergeCell ref="H66:K66"/>
    <mergeCell ref="B67:D67"/>
    <mergeCell ref="H67:K67"/>
    <mergeCell ref="B62:D62"/>
    <mergeCell ref="H62:K62"/>
    <mergeCell ref="B63:D63"/>
    <mergeCell ref="E63:K63"/>
    <mergeCell ref="B64:D64"/>
    <mergeCell ref="H64:K64"/>
    <mergeCell ref="B59:D59"/>
    <mergeCell ref="H59:K59"/>
    <mergeCell ref="B60:D60"/>
    <mergeCell ref="E60:K60"/>
    <mergeCell ref="B61:D61"/>
    <mergeCell ref="H61:K61"/>
    <mergeCell ref="B56:D56"/>
    <mergeCell ref="H56:K56"/>
    <mergeCell ref="B57:D57"/>
    <mergeCell ref="H57:K57"/>
    <mergeCell ref="B58:D58"/>
    <mergeCell ref="H58:K58"/>
    <mergeCell ref="B53:D53"/>
    <mergeCell ref="H53:K53"/>
    <mergeCell ref="B54:D54"/>
    <mergeCell ref="H54:K54"/>
    <mergeCell ref="B55:D55"/>
    <mergeCell ref="H55:K55"/>
    <mergeCell ref="B50:D50"/>
    <mergeCell ref="H50:K50"/>
    <mergeCell ref="B51:D51"/>
    <mergeCell ref="E51:K51"/>
    <mergeCell ref="B52:D52"/>
    <mergeCell ref="H52:K52"/>
    <mergeCell ref="B47:D47"/>
    <mergeCell ref="H47:K47"/>
    <mergeCell ref="B48:D48"/>
    <mergeCell ref="H48:K48"/>
    <mergeCell ref="B49:D49"/>
    <mergeCell ref="H49:K49"/>
    <mergeCell ref="B44:D44"/>
    <mergeCell ref="H44:K44"/>
    <mergeCell ref="B45:D45"/>
    <mergeCell ref="E45:K45"/>
    <mergeCell ref="B46:D46"/>
    <mergeCell ref="H46:K46"/>
    <mergeCell ref="B41:D41"/>
    <mergeCell ref="H41:K41"/>
    <mergeCell ref="B42:D42"/>
    <mergeCell ref="H42:K42"/>
    <mergeCell ref="B43:D43"/>
    <mergeCell ref="H43:K43"/>
    <mergeCell ref="B38:D38"/>
    <mergeCell ref="E38:K38"/>
    <mergeCell ref="B39:D39"/>
    <mergeCell ref="H39:K39"/>
    <mergeCell ref="B40:D40"/>
    <mergeCell ref="E40:K40"/>
    <mergeCell ref="B35:D35"/>
    <mergeCell ref="H35:K35"/>
    <mergeCell ref="B36:D36"/>
    <mergeCell ref="E36:K36"/>
    <mergeCell ref="B37:D37"/>
    <mergeCell ref="H37:K37"/>
    <mergeCell ref="B32:D32"/>
    <mergeCell ref="H32:K32"/>
    <mergeCell ref="B33:D33"/>
    <mergeCell ref="E33:K33"/>
    <mergeCell ref="B34:D34"/>
    <mergeCell ref="H34:K34"/>
    <mergeCell ref="B29:D29"/>
    <mergeCell ref="H29:K29"/>
    <mergeCell ref="B30:D30"/>
    <mergeCell ref="E30:K30"/>
    <mergeCell ref="B31:D31"/>
    <mergeCell ref="H31:K31"/>
    <mergeCell ref="B26:D26"/>
    <mergeCell ref="H26:K26"/>
    <mergeCell ref="B27:D27"/>
    <mergeCell ref="H27:K27"/>
    <mergeCell ref="B28:D28"/>
    <mergeCell ref="H28:K28"/>
    <mergeCell ref="B23:D23"/>
    <mergeCell ref="E23:K23"/>
    <mergeCell ref="B24:D24"/>
    <mergeCell ref="E24:K24"/>
    <mergeCell ref="B25:D25"/>
    <mergeCell ref="H25:K25"/>
    <mergeCell ref="B21:D21"/>
    <mergeCell ref="H21:K21"/>
    <mergeCell ref="B22:D22"/>
    <mergeCell ref="H22:K22"/>
    <mergeCell ref="B17:D17"/>
    <mergeCell ref="H17:K17"/>
    <mergeCell ref="B18:D18"/>
    <mergeCell ref="H18:K18"/>
    <mergeCell ref="B19:D19"/>
    <mergeCell ref="H19:K19"/>
    <mergeCell ref="H14:K14"/>
    <mergeCell ref="B15:D15"/>
    <mergeCell ref="H15:K15"/>
    <mergeCell ref="B16:D16"/>
    <mergeCell ref="H16:K16"/>
    <mergeCell ref="B13:D13"/>
    <mergeCell ref="E13:K13"/>
    <mergeCell ref="B20:D20"/>
    <mergeCell ref="H20:K20"/>
    <mergeCell ref="H115:K115"/>
    <mergeCell ref="H116:K116"/>
    <mergeCell ref="H117:K117"/>
    <mergeCell ref="H118:K118"/>
    <mergeCell ref="H119:K119"/>
    <mergeCell ref="A135:G135"/>
    <mergeCell ref="H135:K135"/>
    <mergeCell ref="A1:G1"/>
    <mergeCell ref="H1:K1"/>
    <mergeCell ref="A2:B5"/>
    <mergeCell ref="H2:K2"/>
    <mergeCell ref="H3:K3"/>
    <mergeCell ref="H4:K4"/>
    <mergeCell ref="H5:K5"/>
    <mergeCell ref="A9:B9"/>
    <mergeCell ref="A10:K10"/>
    <mergeCell ref="B11:D11"/>
    <mergeCell ref="H11:K11"/>
    <mergeCell ref="A12:K12"/>
    <mergeCell ref="A6:K6"/>
    <mergeCell ref="A7:B7"/>
    <mergeCell ref="H7:H8"/>
    <mergeCell ref="A8:B8"/>
    <mergeCell ref="B14:D14"/>
    <mergeCell ref="A136:G136"/>
    <mergeCell ref="H136:K136"/>
    <mergeCell ref="C2:G5"/>
    <mergeCell ref="C7:G7"/>
    <mergeCell ref="C8:G8"/>
    <mergeCell ref="C9:K9"/>
    <mergeCell ref="B128:D128"/>
    <mergeCell ref="H128:K128"/>
    <mergeCell ref="B129:D129"/>
    <mergeCell ref="H129:K129"/>
    <mergeCell ref="B130:D130"/>
    <mergeCell ref="H130:K130"/>
    <mergeCell ref="A132:K132"/>
    <mergeCell ref="A134:G134"/>
    <mergeCell ref="H134:K134"/>
    <mergeCell ref="H120:K120"/>
    <mergeCell ref="H121:K121"/>
    <mergeCell ref="H122:K122"/>
    <mergeCell ref="H123:K123"/>
    <mergeCell ref="H124:K124"/>
    <mergeCell ref="B126:D126"/>
    <mergeCell ref="H126:K126"/>
    <mergeCell ref="H114:K114"/>
    <mergeCell ref="B115:G115"/>
  </mergeCells>
  <phoneticPr fontId="61" type="noConversion"/>
  <printOptions horizontalCentered="1"/>
  <pageMargins left="0.39370078740157483" right="0.39370078740157483" top="0.39370078740157483" bottom="0.39370078740157483" header="0.31496062992125984" footer="0.31496062992125984"/>
  <pageSetup scale="76" fitToHeight="0" orientation="portrait" r:id="rId1"/>
  <rowBreaks count="5" manualBreakCount="5">
    <brk id="37" max="10" man="1"/>
    <brk id="58" max="10" man="1"/>
    <brk id="74" max="10" man="1"/>
    <brk id="94" max="10" man="1"/>
    <brk id="13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 tint="-0.249977111117893"/>
  </sheetPr>
  <dimension ref="A1:K105"/>
  <sheetViews>
    <sheetView topLeftCell="A91" zoomScaleNormal="100" zoomScaleSheetLayoutView="100" workbookViewId="0">
      <selection activeCell="C16" sqref="C16"/>
    </sheetView>
  </sheetViews>
  <sheetFormatPr baseColWidth="10" defaultColWidth="11.44140625" defaultRowHeight="15.6" x14ac:dyDescent="0.25"/>
  <cols>
    <col min="1" max="1" width="8.33203125" style="2" bestFit="1" customWidth="1"/>
    <col min="2" max="2" width="9.5546875" style="2" customWidth="1"/>
    <col min="3" max="3" width="68" style="1" customWidth="1"/>
    <col min="4" max="4" width="9" style="1" customWidth="1"/>
    <col min="5" max="5" width="9.33203125" style="1" customWidth="1"/>
    <col min="6" max="6" width="14.6640625" style="2" customWidth="1"/>
    <col min="7" max="7" width="18.44140625" style="1" customWidth="1"/>
    <col min="8" max="10" width="11.44140625" style="6"/>
    <col min="11" max="11" width="14.44140625" style="6" bestFit="1" customWidth="1"/>
    <col min="12" max="16384" width="11.44140625" style="6"/>
  </cols>
  <sheetData>
    <row r="1" spans="1:10" s="29" customFormat="1" x14ac:dyDescent="0.3">
      <c r="A1" s="836"/>
      <c r="B1" s="837"/>
      <c r="C1" s="838"/>
      <c r="D1" s="850" t="s">
        <v>34</v>
      </c>
      <c r="E1" s="851"/>
      <c r="F1" s="851"/>
      <c r="G1" s="852"/>
    </row>
    <row r="2" spans="1:10" s="29" customFormat="1" ht="84.6" customHeight="1" x14ac:dyDescent="0.3">
      <c r="A2" s="839"/>
      <c r="B2" s="840"/>
      <c r="C2" s="841"/>
      <c r="D2" s="845" t="s">
        <v>80</v>
      </c>
      <c r="E2" s="846"/>
      <c r="F2" s="846"/>
      <c r="G2" s="847"/>
    </row>
    <row r="3" spans="1:10" s="29" customFormat="1" ht="36.6" customHeight="1" x14ac:dyDescent="0.3">
      <c r="A3" s="839"/>
      <c r="B3" s="840"/>
      <c r="C3" s="841"/>
      <c r="D3" s="848" t="s">
        <v>78</v>
      </c>
      <c r="E3" s="848"/>
      <c r="F3" s="848"/>
      <c r="G3" s="848"/>
    </row>
    <row r="4" spans="1:10" s="29" customFormat="1" ht="42.6" customHeight="1" x14ac:dyDescent="0.3">
      <c r="A4" s="839"/>
      <c r="B4" s="840"/>
      <c r="C4" s="841"/>
      <c r="D4" s="849" t="s">
        <v>81</v>
      </c>
      <c r="E4" s="849"/>
      <c r="F4" s="849"/>
      <c r="G4" s="849"/>
    </row>
    <row r="5" spans="1:10" s="29" customFormat="1" ht="28.95" customHeight="1" x14ac:dyDescent="0.3">
      <c r="A5" s="842"/>
      <c r="B5" s="843"/>
      <c r="C5" s="844"/>
      <c r="D5" s="853" t="s">
        <v>188</v>
      </c>
      <c r="E5" s="853"/>
      <c r="F5" s="853"/>
      <c r="G5" s="853"/>
    </row>
    <row r="6" spans="1:10" s="1" customFormat="1" x14ac:dyDescent="0.3">
      <c r="A6" s="2"/>
      <c r="B6" s="2"/>
      <c r="C6" s="3"/>
      <c r="F6" s="4"/>
      <c r="G6" s="5"/>
    </row>
    <row r="7" spans="1:10" s="1" customFormat="1" ht="31.2" x14ac:dyDescent="0.3">
      <c r="A7" s="40" t="s">
        <v>42</v>
      </c>
      <c r="B7" s="40" t="s">
        <v>37</v>
      </c>
      <c r="C7" s="36" t="s">
        <v>33</v>
      </c>
      <c r="D7" s="36" t="s">
        <v>0</v>
      </c>
      <c r="E7" s="36" t="s">
        <v>1</v>
      </c>
      <c r="F7" s="36" t="s">
        <v>2</v>
      </c>
      <c r="G7" s="36" t="s">
        <v>3</v>
      </c>
    </row>
    <row r="8" spans="1:10" s="29" customFormat="1" ht="15.6" customHeight="1" x14ac:dyDescent="0.3">
      <c r="A8" s="833" t="s">
        <v>185</v>
      </c>
      <c r="B8" s="834"/>
      <c r="C8" s="834"/>
      <c r="D8" s="834"/>
      <c r="E8" s="834"/>
      <c r="F8" s="834"/>
      <c r="G8" s="835"/>
    </row>
    <row r="9" spans="1:10" s="29" customFormat="1" x14ac:dyDescent="0.3">
      <c r="A9" s="43">
        <v>1.1000000000000001</v>
      </c>
      <c r="B9" s="56"/>
      <c r="C9" s="56" t="s">
        <v>186</v>
      </c>
      <c r="D9" s="55"/>
      <c r="E9" s="55"/>
      <c r="F9" s="55"/>
      <c r="G9" s="55"/>
    </row>
    <row r="10" spans="1:10" s="29" customFormat="1" x14ac:dyDescent="0.3">
      <c r="A10" s="48" t="s">
        <v>328</v>
      </c>
      <c r="B10" s="39" t="str">
        <f>APU!C9</f>
        <v>EPA0013</v>
      </c>
      <c r="C10" s="38" t="str">
        <f>APU!C10</f>
        <v>LOCALIZACIÓN Y REPLANTEO DE CONDUCCIONES</v>
      </c>
      <c r="D10" s="12" t="str">
        <f>APU!D22</f>
        <v>m</v>
      </c>
      <c r="E10" s="39">
        <f>+CANTIDADES!F20</f>
        <v>338.3</v>
      </c>
      <c r="F10" s="44">
        <f>APU!C22</f>
        <v>3336</v>
      </c>
      <c r="G10" s="45">
        <f t="shared" ref="G10:G73" si="0">ROUND(E10*F10,0)</f>
        <v>1128569</v>
      </c>
    </row>
    <row r="11" spans="1:10" s="47" customFormat="1" x14ac:dyDescent="0.3">
      <c r="A11" s="48" t="s">
        <v>329</v>
      </c>
      <c r="B11" s="39" t="str">
        <f>+APU!C24</f>
        <v>EPA0015</v>
      </c>
      <c r="C11" s="38" t="str">
        <f>+APU!C25</f>
        <v>LOCALIZACIÓN Y REPLANTEO PARA ESTRUCTURAS</v>
      </c>
      <c r="D11" s="12" t="str">
        <f>+APU!D36</f>
        <v>m2</v>
      </c>
      <c r="E11" s="39">
        <f>+CANTIDADES!H50</f>
        <v>521.50000000000114</v>
      </c>
      <c r="F11" s="44">
        <f>+APU!C36</f>
        <v>3007</v>
      </c>
      <c r="G11" s="45">
        <f t="shared" si="0"/>
        <v>1568151</v>
      </c>
    </row>
    <row r="12" spans="1:10" s="29" customFormat="1" x14ac:dyDescent="0.3">
      <c r="A12" s="48" t="s">
        <v>330</v>
      </c>
      <c r="B12" s="39" t="str">
        <f>+APU!C38</f>
        <v>VAR21</v>
      </c>
      <c r="C12" s="38" t="str">
        <f>+APU!C39</f>
        <v>DESCUMBRE, LIMPIEZA, ROCERÍA Y EVACUACIÓN DE BASURAS</v>
      </c>
      <c r="D12" s="12" t="str">
        <f>+APU!C40</f>
        <v>m</v>
      </c>
      <c r="E12" s="39">
        <f>+CANTIDADES!F57</f>
        <v>387</v>
      </c>
      <c r="F12" s="44">
        <f>+APU!C51</f>
        <v>42860</v>
      </c>
      <c r="G12" s="45">
        <f t="shared" si="0"/>
        <v>16586820</v>
      </c>
      <c r="H12" s="832"/>
      <c r="I12" s="832"/>
      <c r="J12" s="832"/>
    </row>
    <row r="13" spans="1:10" s="29" customFormat="1" ht="33" customHeight="1" x14ac:dyDescent="0.3">
      <c r="A13" s="48" t="s">
        <v>331</v>
      </c>
      <c r="B13" s="39" t="str">
        <f>+APU!C53</f>
        <v>ITE7738</v>
      </c>
      <c r="C13" s="38" t="str">
        <f>+APU!C54</f>
        <v>DESCUMBRE, LIMPIEZA, ROCERÍA Y EVACUACIÓN DE BASURAS, PARA PATIOS DE MANIOBRA</v>
      </c>
      <c r="D13" s="12" t="str">
        <f>+APU!C55</f>
        <v>m2</v>
      </c>
      <c r="E13" s="39">
        <f>+CANTIDADES!H66</f>
        <v>1130</v>
      </c>
      <c r="F13" s="44">
        <f>+APU!C66</f>
        <v>6449</v>
      </c>
      <c r="G13" s="45">
        <f t="shared" si="0"/>
        <v>7287370</v>
      </c>
      <c r="H13" s="97"/>
      <c r="I13" s="97"/>
      <c r="J13" s="97"/>
    </row>
    <row r="14" spans="1:10" s="29" customFormat="1" ht="38.25" customHeight="1" x14ac:dyDescent="0.3">
      <c r="A14" s="48" t="s">
        <v>332</v>
      </c>
      <c r="B14" s="39" t="str">
        <f>+APU!C68</f>
        <v>ITE7589</v>
      </c>
      <c r="C14" s="38" t="str">
        <f>+APU!C69</f>
        <v>CONSTRUCCIÓN DE SENDERO PARA LA ENTRADA DE PERSONAL Y EQUIPOS MENORES, CON AFIRMADO e= 0.1 m Y ANCHO= 1.0 m</v>
      </c>
      <c r="D14" s="12" t="str">
        <f>+APU!D83</f>
        <v>m</v>
      </c>
      <c r="E14" s="39">
        <f>+CANTIDADES!F72</f>
        <v>74</v>
      </c>
      <c r="F14" s="44">
        <f>+APU!C83</f>
        <v>81829</v>
      </c>
      <c r="G14" s="45">
        <f t="shared" si="0"/>
        <v>6055346</v>
      </c>
    </row>
    <row r="15" spans="1:10" s="29" customFormat="1" ht="69" customHeight="1" x14ac:dyDescent="0.3">
      <c r="A15" s="48" t="s">
        <v>333</v>
      </c>
      <c r="B15" s="39" t="str">
        <f>+APU!C85</f>
        <v>ITE7730</v>
      </c>
      <c r="C15" s="38" t="str">
        <f>+APU!C86</f>
        <v>ADECUACIÓN DE FRANJA DE MOVILIDAD DE PERSONAL Y EQUIPOS SOBRE LA CONDUCCIÓN DE DESVÍO Y DE PATIOS DE MANIOBRA EN EL SECTOR INFERIOR, ANCHO= 2.0 m Y PISO EN AFIRMADO EN GRAVA e=0,10m, INCLUYE TRASIEGO DE MATERIAL CON USO DE TARABITA</v>
      </c>
      <c r="D15" s="12" t="str">
        <f>+APU!D97</f>
        <v>m2</v>
      </c>
      <c r="E15" s="39">
        <f>+CANTIDADES!H77</f>
        <v>626</v>
      </c>
      <c r="F15" s="44">
        <f>+APU!C97</f>
        <v>64547</v>
      </c>
      <c r="G15" s="45">
        <f t="shared" si="0"/>
        <v>40406422</v>
      </c>
    </row>
    <row r="16" spans="1:10" s="29" customFormat="1" ht="36" customHeight="1" x14ac:dyDescent="0.3">
      <c r="A16" s="48" t="s">
        <v>334</v>
      </c>
      <c r="B16" s="39" t="str">
        <f>+APU!C99</f>
        <v>ITE7741</v>
      </c>
      <c r="C16" s="38" t="str">
        <f>+APU!C100</f>
        <v>ADECUACIÓN DE VIA DE ACCESO Y PATIO DE MANEJO DE MATERIALES, CON AFIRMADO e= 0.10 m.</v>
      </c>
      <c r="D16" s="12" t="str">
        <f>+APU!C101</f>
        <v>m2</v>
      </c>
      <c r="E16" s="49">
        <f>+CANTIDADES!H83</f>
        <v>1340</v>
      </c>
      <c r="F16" s="44">
        <f>+APU!C111</f>
        <v>52647</v>
      </c>
      <c r="G16" s="45">
        <f t="shared" si="0"/>
        <v>70546980</v>
      </c>
    </row>
    <row r="17" spans="1:11" s="29" customFormat="1" ht="15.75" customHeight="1" x14ac:dyDescent="0.3">
      <c r="A17" s="48" t="s">
        <v>335</v>
      </c>
      <c r="B17" s="39" t="str">
        <f>+APU!C113</f>
        <v>EPA024</v>
      </c>
      <c r="C17" s="38" t="str">
        <f>+APU!C114</f>
        <v>DEMOLICIÓN CONCRETO REFORZADO</v>
      </c>
      <c r="D17" s="12" t="str">
        <f>+APU!D124</f>
        <v>m3</v>
      </c>
      <c r="E17" s="42">
        <v>7.13</v>
      </c>
      <c r="F17" s="44">
        <f>+APU!C124</f>
        <v>99494</v>
      </c>
      <c r="G17" s="45">
        <f t="shared" si="0"/>
        <v>709392</v>
      </c>
      <c r="H17" s="832"/>
      <c r="I17" s="832"/>
      <c r="J17" s="832"/>
    </row>
    <row r="18" spans="1:11" s="29" customFormat="1" ht="32.25" customHeight="1" x14ac:dyDescent="0.3">
      <c r="A18" s="48" t="s">
        <v>336</v>
      </c>
      <c r="B18" s="102" t="str">
        <f>+APU!C126</f>
        <v>ITE7745</v>
      </c>
      <c r="C18" s="38" t="str">
        <f>+APU!C127</f>
        <v>SISTEMA DE ACOMETIDA PRINCIPAL Y DISTRIBUCIÓN BÁSICA DE ENERGÍA, INCLUYE TABLEROS DE DISTRIBUCIÓN Y CONTROL.</v>
      </c>
      <c r="D18" s="12" t="str">
        <f>+APU!C128</f>
        <v>Un</v>
      </c>
      <c r="E18" s="49">
        <v>1</v>
      </c>
      <c r="F18" s="45">
        <f>+APU!C147</f>
        <v>42840322</v>
      </c>
      <c r="G18" s="45">
        <f>ROUND(E18*F18,0)</f>
        <v>42840322</v>
      </c>
      <c r="H18" s="104"/>
      <c r="I18" s="104"/>
      <c r="J18" s="104"/>
    </row>
    <row r="19" spans="1:11" s="29" customFormat="1" x14ac:dyDescent="0.3">
      <c r="A19" s="107">
        <v>1.2</v>
      </c>
      <c r="B19" s="39"/>
      <c r="C19" s="110" t="s">
        <v>6</v>
      </c>
      <c r="D19" s="12"/>
      <c r="E19" s="46"/>
      <c r="F19" s="44"/>
      <c r="G19" s="45"/>
    </row>
    <row r="20" spans="1:11" s="29" customFormat="1" x14ac:dyDescent="0.3">
      <c r="A20" s="107" t="s">
        <v>337</v>
      </c>
      <c r="B20" s="39"/>
      <c r="C20" s="110" t="s">
        <v>451</v>
      </c>
      <c r="D20" s="12"/>
      <c r="E20" s="39"/>
      <c r="F20" s="44"/>
      <c r="G20" s="45"/>
    </row>
    <row r="21" spans="1:11" s="29" customFormat="1" ht="31.2" x14ac:dyDescent="0.3">
      <c r="A21" s="39" t="s">
        <v>444</v>
      </c>
      <c r="B21" s="37" t="str">
        <f>+APU!C149</f>
        <v>EPA0041</v>
      </c>
      <c r="C21" s="38" t="s">
        <v>455</v>
      </c>
      <c r="D21" s="12" t="str">
        <f>+APU!C151</f>
        <v>m3</v>
      </c>
      <c r="E21" s="39">
        <f>+CANTIDADES!I98</f>
        <v>500</v>
      </c>
      <c r="F21" s="44">
        <f>+APU!C159</f>
        <v>17775</v>
      </c>
      <c r="G21" s="45">
        <f>ROUND(E21*F21,0)</f>
        <v>8887500</v>
      </c>
    </row>
    <row r="22" spans="1:11" s="29" customFormat="1" x14ac:dyDescent="0.3">
      <c r="A22" s="39" t="s">
        <v>446</v>
      </c>
      <c r="B22" s="37" t="str">
        <f>+APU!C149</f>
        <v>EPA0041</v>
      </c>
      <c r="C22" s="38" t="s">
        <v>456</v>
      </c>
      <c r="D22" s="12" t="str">
        <f>+APU!C151</f>
        <v>m3</v>
      </c>
      <c r="E22" s="39">
        <f>+CANTIDADES!I99</f>
        <v>20</v>
      </c>
      <c r="F22" s="44">
        <f>+APU!C159</f>
        <v>17775</v>
      </c>
      <c r="G22" s="45">
        <f t="shared" ref="G22:G25" si="1">ROUND(E22*F22,0)</f>
        <v>355500</v>
      </c>
    </row>
    <row r="23" spans="1:11" s="29" customFormat="1" x14ac:dyDescent="0.3">
      <c r="A23" s="39" t="s">
        <v>460</v>
      </c>
      <c r="B23" s="37" t="str">
        <f>+APU!C149</f>
        <v>EPA0041</v>
      </c>
      <c r="C23" s="38" t="s">
        <v>457</v>
      </c>
      <c r="D23" s="12" t="str">
        <f>+APU!C151</f>
        <v>m3</v>
      </c>
      <c r="E23" s="39">
        <f>+CANTIDADES!I100</f>
        <v>8</v>
      </c>
      <c r="F23" s="44">
        <f>+APU!C159</f>
        <v>17775</v>
      </c>
      <c r="G23" s="45">
        <f t="shared" si="1"/>
        <v>142200</v>
      </c>
    </row>
    <row r="24" spans="1:11" s="29" customFormat="1" x14ac:dyDescent="0.3">
      <c r="A24" s="39" t="s">
        <v>461</v>
      </c>
      <c r="B24" s="37" t="str">
        <f>+APU!C149</f>
        <v>EPA0041</v>
      </c>
      <c r="C24" s="38" t="s">
        <v>458</v>
      </c>
      <c r="D24" s="12" t="str">
        <f>+APU!C151</f>
        <v>m3</v>
      </c>
      <c r="E24" s="39">
        <f>+CANTIDADES!I101</f>
        <v>25</v>
      </c>
      <c r="F24" s="44">
        <f>+APU!C159</f>
        <v>17775</v>
      </c>
      <c r="G24" s="45">
        <f t="shared" si="1"/>
        <v>444375</v>
      </c>
    </row>
    <row r="25" spans="1:11" s="29" customFormat="1" x14ac:dyDescent="0.3">
      <c r="A25" s="39" t="s">
        <v>462</v>
      </c>
      <c r="B25" s="37" t="str">
        <f>+APU!C149</f>
        <v>EPA0041</v>
      </c>
      <c r="C25" s="38" t="s">
        <v>459</v>
      </c>
      <c r="D25" s="12" t="str">
        <f>+APU!C151</f>
        <v>m3</v>
      </c>
      <c r="E25" s="39">
        <f>+CANTIDADES!I102</f>
        <v>12</v>
      </c>
      <c r="F25" s="44">
        <f>+APU!C159</f>
        <v>17775</v>
      </c>
      <c r="G25" s="45">
        <f t="shared" si="1"/>
        <v>213300</v>
      </c>
    </row>
    <row r="26" spans="1:11" s="29" customFormat="1" x14ac:dyDescent="0.3">
      <c r="A26" s="107" t="s">
        <v>338</v>
      </c>
      <c r="B26" s="39"/>
      <c r="C26" s="110" t="s">
        <v>447</v>
      </c>
      <c r="D26" s="12"/>
      <c r="E26" s="46"/>
      <c r="F26" s="44"/>
      <c r="G26" s="45"/>
    </row>
    <row r="27" spans="1:11" s="29" customFormat="1" ht="15" customHeight="1" x14ac:dyDescent="0.3">
      <c r="A27" s="39" t="s">
        <v>445</v>
      </c>
      <c r="B27" s="37" t="str">
        <f>+APU!C161</f>
        <v>EPA0044</v>
      </c>
      <c r="C27" s="38" t="s">
        <v>448</v>
      </c>
      <c r="D27" s="12" t="str">
        <f>+APU!C163</f>
        <v>m3</v>
      </c>
      <c r="E27" s="39">
        <f>+CANTIDADES!O124</f>
        <v>1063.413594102765</v>
      </c>
      <c r="F27" s="44">
        <f>+APU!C171</f>
        <v>25203</v>
      </c>
      <c r="G27" s="45">
        <f t="shared" si="0"/>
        <v>26801213</v>
      </c>
      <c r="H27" s="832"/>
      <c r="I27" s="832"/>
      <c r="J27" s="832"/>
      <c r="K27" s="96"/>
    </row>
    <row r="28" spans="1:11" s="29" customFormat="1" ht="15" customHeight="1" x14ac:dyDescent="0.3">
      <c r="A28" s="39" t="s">
        <v>445</v>
      </c>
      <c r="B28" s="37" t="str">
        <f>+APU!C173</f>
        <v>EPA0045</v>
      </c>
      <c r="C28" s="38" t="s">
        <v>449</v>
      </c>
      <c r="D28" s="12" t="str">
        <f>+APU!C175</f>
        <v>m3</v>
      </c>
      <c r="E28" s="39">
        <f>+CANTIDADES!R124</f>
        <v>193.29705771447524</v>
      </c>
      <c r="F28" s="44">
        <f>+APU!C183</f>
        <v>50713</v>
      </c>
      <c r="G28" s="45">
        <f>ROUND(E28*F28,0)</f>
        <v>9802674</v>
      </c>
      <c r="H28" s="104"/>
      <c r="I28" s="104"/>
      <c r="J28" s="104"/>
      <c r="K28" s="96"/>
    </row>
    <row r="29" spans="1:11" s="29" customFormat="1" ht="15" customHeight="1" x14ac:dyDescent="0.3">
      <c r="A29" s="107" t="s">
        <v>339</v>
      </c>
      <c r="B29" s="39"/>
      <c r="C29" s="110" t="s">
        <v>470</v>
      </c>
      <c r="D29" s="12"/>
      <c r="E29" s="46"/>
      <c r="F29" s="44"/>
      <c r="G29" s="45"/>
      <c r="H29" s="108"/>
      <c r="I29" s="108"/>
      <c r="J29" s="108"/>
      <c r="K29" s="96"/>
    </row>
    <row r="30" spans="1:11" s="29" customFormat="1" ht="15" customHeight="1" x14ac:dyDescent="0.3">
      <c r="A30" s="39" t="s">
        <v>452</v>
      </c>
      <c r="B30" s="37" t="str">
        <f>+APU!C161</f>
        <v>EPA0044</v>
      </c>
      <c r="C30" s="38" t="s">
        <v>450</v>
      </c>
      <c r="D30" s="12" t="str">
        <f>+APU!C163</f>
        <v>m3</v>
      </c>
      <c r="E30" s="39">
        <f>+CANTIDADES!X124</f>
        <v>27.287499477922392</v>
      </c>
      <c r="F30" s="44">
        <f>+APU!C171</f>
        <v>25203</v>
      </c>
      <c r="G30" s="45">
        <f t="shared" ref="G30:G31" si="2">ROUND(E30*F30,0)</f>
        <v>687727</v>
      </c>
      <c r="H30" s="108"/>
      <c r="I30" s="108"/>
      <c r="J30" s="108"/>
      <c r="K30" s="96"/>
    </row>
    <row r="31" spans="1:11" s="29" customFormat="1" ht="15" customHeight="1" x14ac:dyDescent="0.3">
      <c r="A31" s="39" t="s">
        <v>659</v>
      </c>
      <c r="B31" s="37" t="str">
        <f>+APU!C173</f>
        <v>EPA0045</v>
      </c>
      <c r="C31" s="38" t="s">
        <v>660</v>
      </c>
      <c r="D31" s="12" t="s">
        <v>7</v>
      </c>
      <c r="E31" s="42">
        <f>+CANTIDADES!Y124</f>
        <v>3.9571751636678663</v>
      </c>
      <c r="F31" s="44">
        <f>+APU!C183</f>
        <v>50713</v>
      </c>
      <c r="G31" s="45">
        <f t="shared" si="2"/>
        <v>200680</v>
      </c>
      <c r="H31" s="159"/>
      <c r="I31" s="159"/>
      <c r="J31" s="159"/>
      <c r="K31" s="96"/>
    </row>
    <row r="32" spans="1:11" s="29" customFormat="1" ht="15" customHeight="1" x14ac:dyDescent="0.3">
      <c r="A32" s="107" t="s">
        <v>340</v>
      </c>
      <c r="B32" s="39"/>
      <c r="C32" s="110" t="s">
        <v>465</v>
      </c>
      <c r="D32" s="12"/>
      <c r="E32" s="46"/>
      <c r="F32" s="44"/>
      <c r="G32" s="45"/>
      <c r="H32" s="108"/>
      <c r="I32" s="108"/>
      <c r="J32" s="108"/>
      <c r="K32" s="96"/>
    </row>
    <row r="33" spans="1:11" s="29" customFormat="1" ht="15" customHeight="1" x14ac:dyDescent="0.3">
      <c r="A33" s="39" t="s">
        <v>463</v>
      </c>
      <c r="B33" s="37" t="str">
        <f>+APU!C161</f>
        <v>EPA0044</v>
      </c>
      <c r="C33" s="38" t="s">
        <v>464</v>
      </c>
      <c r="D33" s="12" t="str">
        <f>+APU!D171</f>
        <v>m3</v>
      </c>
      <c r="E33" s="39">
        <v>11</v>
      </c>
      <c r="F33" s="44">
        <f>+APU!C171</f>
        <v>25203</v>
      </c>
      <c r="G33" s="45">
        <f t="shared" ref="G33" si="3">ROUND(E33*F33,0)</f>
        <v>277233</v>
      </c>
      <c r="H33" s="108"/>
      <c r="I33" s="108"/>
      <c r="J33" s="108"/>
      <c r="K33" s="96"/>
    </row>
    <row r="34" spans="1:11" s="29" customFormat="1" ht="15" customHeight="1" x14ac:dyDescent="0.3">
      <c r="A34" s="107" t="s">
        <v>341</v>
      </c>
      <c r="B34" s="39"/>
      <c r="C34" s="110" t="s">
        <v>471</v>
      </c>
      <c r="D34" s="12"/>
      <c r="E34" s="46"/>
      <c r="F34" s="44"/>
      <c r="G34" s="45"/>
      <c r="H34" s="108"/>
      <c r="I34" s="108"/>
      <c r="J34" s="108"/>
      <c r="K34" s="96"/>
    </row>
    <row r="35" spans="1:11" s="29" customFormat="1" x14ac:dyDescent="0.3">
      <c r="A35" s="39" t="s">
        <v>467</v>
      </c>
      <c r="B35" s="37" t="str">
        <f>+APU!C149</f>
        <v>EPA0041</v>
      </c>
      <c r="C35" s="38" t="s">
        <v>466</v>
      </c>
      <c r="D35" s="12" t="str">
        <f>+APU!C151</f>
        <v>m3</v>
      </c>
      <c r="E35" s="42">
        <v>11.25</v>
      </c>
      <c r="F35" s="44">
        <f>+APU!C159</f>
        <v>17775</v>
      </c>
      <c r="G35" s="45">
        <f t="shared" ref="G35" si="4">ROUND(E35*F35,0)</f>
        <v>199969</v>
      </c>
      <c r="H35" s="108"/>
      <c r="I35" s="108"/>
      <c r="J35" s="108"/>
      <c r="K35" s="96"/>
    </row>
    <row r="36" spans="1:11" s="29" customFormat="1" ht="15" customHeight="1" x14ac:dyDescent="0.3">
      <c r="A36" s="107" t="s">
        <v>431</v>
      </c>
      <c r="B36" s="39"/>
      <c r="C36" s="110" t="s">
        <v>469</v>
      </c>
      <c r="D36" s="12"/>
      <c r="E36" s="46"/>
      <c r="F36" s="44"/>
      <c r="G36" s="45"/>
      <c r="H36" s="108"/>
      <c r="I36" s="108"/>
      <c r="J36" s="108"/>
      <c r="K36" s="96"/>
    </row>
    <row r="37" spans="1:11" s="29" customFormat="1" ht="33.75" customHeight="1" x14ac:dyDescent="0.3">
      <c r="A37" s="39" t="s">
        <v>468</v>
      </c>
      <c r="B37" s="37" t="str">
        <f>+APU!C149</f>
        <v>EPA0041</v>
      </c>
      <c r="C37" s="38" t="s">
        <v>666</v>
      </c>
      <c r="D37" s="12" t="str">
        <f>+APU!C151</f>
        <v>m3</v>
      </c>
      <c r="E37" s="39">
        <v>200</v>
      </c>
      <c r="F37" s="44">
        <f>+APU!C159</f>
        <v>17775</v>
      </c>
      <c r="G37" s="45">
        <f>ROUND(E37*F37,0)</f>
        <v>3555000</v>
      </c>
      <c r="H37" s="108"/>
      <c r="I37" s="108"/>
      <c r="J37" s="108"/>
      <c r="K37" s="96"/>
    </row>
    <row r="38" spans="1:11" s="29" customFormat="1" ht="31.2" x14ac:dyDescent="0.3">
      <c r="A38" s="39" t="s">
        <v>808</v>
      </c>
      <c r="B38" s="37" t="str">
        <f>+APU!C185</f>
        <v>EPA0118</v>
      </c>
      <c r="C38" s="38" t="str">
        <f>+APU!C186</f>
        <v>CAMA PARA CIMENTACIÓN DE TUBERIA CON GRAVA TRITURADA ØMÁX 1" , INCLUYE TRASIEGO DE MATERIAL CON USO DE TARABITA</v>
      </c>
      <c r="D38" s="12" t="str">
        <f>+APU!C187</f>
        <v>m3</v>
      </c>
      <c r="E38" s="39">
        <f>ROUND(CANTIDADES!V124,0)</f>
        <v>470</v>
      </c>
      <c r="F38" s="44">
        <f>+APU!C198</f>
        <v>144273</v>
      </c>
      <c r="G38" s="45">
        <f>+E38*F38</f>
        <v>67808310</v>
      </c>
    </row>
    <row r="39" spans="1:11" s="29" customFormat="1" x14ac:dyDescent="0.3">
      <c r="A39" s="39" t="s">
        <v>809</v>
      </c>
      <c r="B39" s="37" t="str">
        <f>+APU!C200</f>
        <v>EPA0116</v>
      </c>
      <c r="C39" s="38" t="str">
        <f>+APU!C201</f>
        <v>LLENO COMPACTADO CON MATERIAL DEL SITIO</v>
      </c>
      <c r="D39" s="12" t="str">
        <f>+APU!C202</f>
        <v>m3</v>
      </c>
      <c r="E39" s="49">
        <f>ROUND(CANTIDADES!W124,0)</f>
        <v>575</v>
      </c>
      <c r="F39" s="44">
        <f>+APU!C211</f>
        <v>15235</v>
      </c>
      <c r="G39" s="45">
        <f>ROUND(E39*F39,0)</f>
        <v>8760125</v>
      </c>
    </row>
    <row r="40" spans="1:11" s="29" customFormat="1" ht="48.75" customHeight="1" x14ac:dyDescent="0.3">
      <c r="A40" s="39" t="s">
        <v>810</v>
      </c>
      <c r="B40" s="37" t="str">
        <f>+APU!C213</f>
        <v>EPA0021</v>
      </c>
      <c r="C40" s="38" t="str">
        <f>+APU!C214</f>
        <v>CARGUE Y RETIRO MATERIAL SOBRANTE MAS ESCOMBROS, INCLUYE TRANSPORTE Y DISPOSICION DE ESCOMBROS, INCLUYE TRASIEGO DE MATERIAL CON USO DE TARABITA</v>
      </c>
      <c r="D40" s="12" t="str">
        <f>+APU!C215</f>
        <v>m3</v>
      </c>
      <c r="E40" s="49">
        <f>ROUND(CANTIDADES!Z124,0)</f>
        <v>713</v>
      </c>
      <c r="F40" s="44">
        <f>+APU!C226</f>
        <v>54198</v>
      </c>
      <c r="G40" s="45">
        <f>ROUND(E40*F40,0)</f>
        <v>38643174</v>
      </c>
      <c r="H40" s="832"/>
      <c r="I40" s="832"/>
      <c r="J40" s="832"/>
    </row>
    <row r="41" spans="1:11" s="29" customFormat="1" x14ac:dyDescent="0.3">
      <c r="A41" s="107">
        <v>1.3</v>
      </c>
      <c r="B41" s="37"/>
      <c r="C41" s="106" t="s">
        <v>187</v>
      </c>
      <c r="D41" s="12"/>
      <c r="E41" s="49"/>
      <c r="F41" s="44"/>
      <c r="G41" s="50"/>
    </row>
    <row r="42" spans="1:11" s="29" customFormat="1" ht="31.2" x14ac:dyDescent="0.3">
      <c r="A42" s="39" t="s">
        <v>342</v>
      </c>
      <c r="B42" s="37" t="str">
        <f>+APU!C257</f>
        <v>ITE6140</v>
      </c>
      <c r="C42" s="38" t="str">
        <f>+APU!C258</f>
        <v>SUMINISTRO E INSTALACIÓN DE TUBERÍA PEAD ALCANTARILLADO DN 900 mm (Ø36")</v>
      </c>
      <c r="D42" s="12" t="str">
        <f>+APU!D269</f>
        <v>m</v>
      </c>
      <c r="E42" s="49">
        <f>ROUND(CANTIDADES!C154,0)</f>
        <v>323</v>
      </c>
      <c r="F42" s="44">
        <f>+APU!C269</f>
        <v>1091419</v>
      </c>
      <c r="G42" s="45">
        <f t="shared" si="0"/>
        <v>352528337</v>
      </c>
    </row>
    <row r="43" spans="1:11" s="47" customFormat="1" x14ac:dyDescent="0.3">
      <c r="A43" s="39" t="s">
        <v>343</v>
      </c>
      <c r="B43" s="102" t="str">
        <f>+APU!C271</f>
        <v>EPA0079</v>
      </c>
      <c r="C43" s="38" t="str">
        <f>+APU!C272</f>
        <v>SUMINISTRO E INSTALACIÓN DE TUBERÍA PVC AR DN 150 mm (Ø6")</v>
      </c>
      <c r="D43" s="12" t="str">
        <f>+APU!D284</f>
        <v>m</v>
      </c>
      <c r="E43" s="42">
        <f>+CANTIDADES!C160</f>
        <v>23.5</v>
      </c>
      <c r="F43" s="45">
        <f>+APU!C284</f>
        <v>45226</v>
      </c>
      <c r="G43" s="45">
        <f t="shared" si="0"/>
        <v>1062811</v>
      </c>
    </row>
    <row r="44" spans="1:11" s="29" customFormat="1" x14ac:dyDescent="0.3">
      <c r="A44" s="39" t="s">
        <v>344</v>
      </c>
      <c r="B44" s="102" t="str">
        <f>+APU!C286</f>
        <v>ITE5082</v>
      </c>
      <c r="C44" s="38" t="str">
        <f>+APU!C287</f>
        <v xml:space="preserve">SUMINISTRO E INSTALACIÓN DE TUBERÍA PEAD DN 160 mm PN 10 </v>
      </c>
      <c r="D44" s="12" t="str">
        <f>+APU!D297</f>
        <v>m</v>
      </c>
      <c r="E44" s="42">
        <f>+CANTIDADES!C166</f>
        <v>2.5</v>
      </c>
      <c r="F44" s="45">
        <f>+APU!C297</f>
        <v>90422</v>
      </c>
      <c r="G44" s="45">
        <f t="shared" si="0"/>
        <v>226055</v>
      </c>
    </row>
    <row r="45" spans="1:11" s="32" customFormat="1" x14ac:dyDescent="0.25">
      <c r="A45" s="39" t="s">
        <v>345</v>
      </c>
      <c r="B45" s="102" t="str">
        <f>+APU!C299</f>
        <v>ITE5969</v>
      </c>
      <c r="C45" s="38" t="str">
        <f>+APU!C300</f>
        <v>VÁLVULA EB AC Ø 6" SELLO ELÁSTICO</v>
      </c>
      <c r="D45" s="12" t="str">
        <f>+APU!D309</f>
        <v>Un</v>
      </c>
      <c r="E45" s="49">
        <f>+CANTIDADES!F172</f>
        <v>2</v>
      </c>
      <c r="F45" s="45">
        <f>+APU!C309</f>
        <v>1737298</v>
      </c>
      <c r="G45" s="45">
        <f t="shared" si="0"/>
        <v>3474596</v>
      </c>
    </row>
    <row r="46" spans="1:11" s="32" customFormat="1" x14ac:dyDescent="0.25">
      <c r="A46" s="39" t="s">
        <v>346</v>
      </c>
      <c r="B46" s="102" t="str">
        <f>+APU!C311</f>
        <v>ITE6679</v>
      </c>
      <c r="C46" s="38" t="str">
        <f>+APU!C312</f>
        <v>PORTAFLANCHE + BRIDA LOCA DN 160 mm, PEAD PN 10</v>
      </c>
      <c r="D46" s="12" t="str">
        <f>+APU!D322</f>
        <v>Un</v>
      </c>
      <c r="E46" s="12">
        <v>4</v>
      </c>
      <c r="F46" s="45">
        <f>+APU!C322</f>
        <v>277771</v>
      </c>
      <c r="G46" s="45">
        <f t="shared" si="0"/>
        <v>1111084</v>
      </c>
    </row>
    <row r="47" spans="1:11" s="32" customFormat="1" x14ac:dyDescent="0.25">
      <c r="A47" s="107">
        <v>1.4</v>
      </c>
      <c r="B47" s="51"/>
      <c r="C47" s="106" t="s">
        <v>8</v>
      </c>
      <c r="D47" s="12"/>
      <c r="E47" s="49"/>
      <c r="F47" s="44"/>
      <c r="G47" s="45"/>
    </row>
    <row r="48" spans="1:11" s="32" customFormat="1" ht="31.2" x14ac:dyDescent="0.25">
      <c r="A48" s="39" t="s">
        <v>347</v>
      </c>
      <c r="B48" s="37" t="str">
        <f>+APU!C324</f>
        <v>ITE7245</v>
      </c>
      <c r="C48" s="38" t="str">
        <f>+APU!C325</f>
        <v>CONCRETO PARA CUERPO DE PANTALLA ANCLADA , f'c 28 MPa (4000 psi), INCLUYE TRASIEGO DE MATERIAL CON USO DE TARABITA</v>
      </c>
      <c r="D48" s="12" t="str">
        <f>+APU!D344</f>
        <v>m3</v>
      </c>
      <c r="E48" s="49">
        <f>400*0.2</f>
        <v>80</v>
      </c>
      <c r="F48" s="44">
        <f>+APU!C344</f>
        <v>893152</v>
      </c>
      <c r="G48" s="45">
        <f t="shared" si="0"/>
        <v>71452160</v>
      </c>
    </row>
    <row r="49" spans="1:10" s="30" customFormat="1" ht="48" customHeight="1" x14ac:dyDescent="0.3">
      <c r="A49" s="39" t="s">
        <v>348</v>
      </c>
      <c r="B49" s="37" t="str">
        <f>+APU!C346</f>
        <v>EPA0240</v>
      </c>
      <c r="C49" s="38" t="str">
        <f>+APU!C347</f>
        <v>BASE Y CAÑUELA PARA CÁMARA DE INSPECCIÓN D = 1,50 m EN CONCRETO DE f'c 21 MPa (3000 psi), INCLUYE TRASIEGO DE MATERIAL CON USO DE TARABITA</v>
      </c>
      <c r="D49" s="12" t="str">
        <f>+APU!C348</f>
        <v>Un</v>
      </c>
      <c r="E49" s="49">
        <f>+CANTIDADES!F191</f>
        <v>7</v>
      </c>
      <c r="F49" s="44">
        <f>+APU!C357</f>
        <v>434189</v>
      </c>
      <c r="G49" s="45">
        <f t="shared" si="0"/>
        <v>3039323</v>
      </c>
    </row>
    <row r="50" spans="1:10" ht="31.2" x14ac:dyDescent="0.25">
      <c r="A50" s="39" t="s">
        <v>349</v>
      </c>
      <c r="B50" s="37" t="str">
        <f>+APU!C359</f>
        <v>EPA0237</v>
      </c>
      <c r="C50" s="38" t="str">
        <f>+APU!C360</f>
        <v>CUERPO PARA CÁMARA DE INSPECCIÓN D = 1,50 m, EN CONCRETO DE f'c 21 MPa (3000 psi), INCLUYE ESTRIBOS</v>
      </c>
      <c r="D50" s="12" t="str">
        <f>+APU!C361</f>
        <v>m</v>
      </c>
      <c r="E50" s="39">
        <f>+CANTIDADES!F202</f>
        <v>14.438615299786534</v>
      </c>
      <c r="F50" s="44">
        <f>+APU!C375</f>
        <v>751442</v>
      </c>
      <c r="G50" s="45">
        <f t="shared" si="0"/>
        <v>10849782</v>
      </c>
    </row>
    <row r="51" spans="1:10" ht="49.5" customHeight="1" x14ac:dyDescent="0.25">
      <c r="A51" s="39" t="s">
        <v>350</v>
      </c>
      <c r="B51" s="37" t="str">
        <f>+APU!C377</f>
        <v>ITE5169</v>
      </c>
      <c r="C51" s="38" t="str">
        <f>+APU!C378</f>
        <v>LOSA SUPERIOR PARA CÁMARA DE INSPECCIÓN D=1,50 m INCLUYE REFUERZO, INCLUYE TAPA EN POLIPROPILENO, INCLUYE TRASIEGO DE MATERIAL CON USO DE TARABITA</v>
      </c>
      <c r="D51" s="12" t="str">
        <f>+APU!C379</f>
        <v>Un</v>
      </c>
      <c r="E51" s="49">
        <f>+CANTIDADES!F191</f>
        <v>7</v>
      </c>
      <c r="F51" s="44">
        <f>+APU!C395</f>
        <v>1465017</v>
      </c>
      <c r="G51" s="45">
        <f t="shared" si="0"/>
        <v>10255119</v>
      </c>
      <c r="H51" s="832"/>
      <c r="I51" s="832"/>
      <c r="J51" s="832"/>
    </row>
    <row r="52" spans="1:10" ht="46.8" x14ac:dyDescent="0.25">
      <c r="A52" s="39" t="s">
        <v>351</v>
      </c>
      <c r="B52" s="37" t="str">
        <f>+APU!C397</f>
        <v>EPA0299</v>
      </c>
      <c r="C52" s="38" t="str">
        <f>+APU!C398</f>
        <v>CAJA DE 0.60 x 0.60 x 0.90 m, e=0.15, EN CONCRETO f'c 21 MPa (3000 psi), TAPA REFORZADA EN CONCRETO f'c 21 MPa (3000 psi), INCLUYE REFUERZO, INCLUYE TRASIEGO DE MATERIAL CON USO DE TARABITA</v>
      </c>
      <c r="D52" s="12" t="str">
        <f>+APU!D414</f>
        <v>Un</v>
      </c>
      <c r="E52" s="49">
        <v>2</v>
      </c>
      <c r="F52" s="44">
        <f>+APU!C414</f>
        <v>519137</v>
      </c>
      <c r="G52" s="45">
        <f t="shared" si="0"/>
        <v>1038274</v>
      </c>
    </row>
    <row r="53" spans="1:10" ht="51" customHeight="1" x14ac:dyDescent="0.25">
      <c r="A53" s="39" t="s">
        <v>352</v>
      </c>
      <c r="B53" s="37" t="str">
        <f>+APU!C416</f>
        <v>ITE5214</v>
      </c>
      <c r="C53" s="38" t="str">
        <f>+APU!C417</f>
        <v>PLACA SUPERIOR Y DE FONDO EN CONCRETO PARA CÁMARA ESPECIAL DE f'c 21 MPa (3000 psi), e = 0,15 m, INCLUYE REFUERZO, INCLUYE TRASIEGO DE MATERIAL CON USO DE TARABITA</v>
      </c>
      <c r="D53" s="12" t="str">
        <f>+APU!D430</f>
        <v>m2</v>
      </c>
      <c r="E53" s="39">
        <v>15.2</v>
      </c>
      <c r="F53" s="44">
        <f>+APU!C430</f>
        <v>209757</v>
      </c>
      <c r="G53" s="45">
        <f t="shared" si="0"/>
        <v>3188306</v>
      </c>
    </row>
    <row r="54" spans="1:10" ht="48" customHeight="1" x14ac:dyDescent="0.25">
      <c r="A54" s="39" t="s">
        <v>353</v>
      </c>
      <c r="B54" s="37" t="str">
        <f>+APU!C432</f>
        <v>ITE5268</v>
      </c>
      <c r="C54" s="38" t="str">
        <f>+APU!C433</f>
        <v>MUROS EN CONCRETO IMPERMEABILIZADO DE f'c 21 MPa (3000 psi) e= 0,25 m, PARA CAMARAS ESPECIALES, INCLUYE TRASIEGO DE MATERIAL CON USO DE TARABITA</v>
      </c>
      <c r="D54" s="12" t="str">
        <f>+APU!D450</f>
        <v>m3</v>
      </c>
      <c r="E54" s="39">
        <f>+CANTIDADES!I214</f>
        <v>7.3382500000000004</v>
      </c>
      <c r="F54" s="44">
        <f>+APU!C450</f>
        <v>745720</v>
      </c>
      <c r="G54" s="45">
        <f t="shared" si="0"/>
        <v>5472280</v>
      </c>
    </row>
    <row r="55" spans="1:10" ht="48.75" customHeight="1" x14ac:dyDescent="0.25">
      <c r="A55" s="39" t="s">
        <v>354</v>
      </c>
      <c r="B55" s="37" t="str">
        <f>+APU!C452</f>
        <v>ITE5805</v>
      </c>
      <c r="C55" s="38" t="str">
        <f>+APU!C453</f>
        <v>PLACA SUPERIOR EN CONCRETO DE f'c 24 MPa (3500 psi), e = 0,25 m, PARA CAMARAS ESPECIALES, INCLUYE TAPA EN POLIPROPILENO, INCLUYE TRASIEGO DE MATERIAL CON USO DE TARABITA</v>
      </c>
      <c r="D55" s="12" t="str">
        <f>+APU!D467</f>
        <v>m3</v>
      </c>
      <c r="E55" s="39">
        <f>+CANTIDADES!K220</f>
        <v>1.7486283305884593</v>
      </c>
      <c r="F55" s="44">
        <f>+APU!C467</f>
        <v>2234254</v>
      </c>
      <c r="G55" s="45">
        <f t="shared" si="0"/>
        <v>3906880</v>
      </c>
    </row>
    <row r="56" spans="1:10" x14ac:dyDescent="0.25">
      <c r="A56" s="107">
        <v>1.5</v>
      </c>
      <c r="B56" s="37"/>
      <c r="C56" s="106" t="s">
        <v>109</v>
      </c>
      <c r="D56" s="12"/>
      <c r="E56" s="49"/>
      <c r="F56" s="44"/>
      <c r="G56" s="50"/>
    </row>
    <row r="57" spans="1:10" ht="33.75" customHeight="1" x14ac:dyDescent="0.25">
      <c r="A57" s="39" t="s">
        <v>355</v>
      </c>
      <c r="B57" s="37" t="str">
        <f>+APU!C469</f>
        <v>EPA0008</v>
      </c>
      <c r="C57" s="38" t="s">
        <v>694</v>
      </c>
      <c r="D57" s="12" t="str">
        <f>+APU!D483</f>
        <v>Kg</v>
      </c>
      <c r="E57" s="49">
        <f>+CANTIDADES!K231</f>
        <v>5392</v>
      </c>
      <c r="F57" s="44">
        <f>+APU!C483</f>
        <v>3956</v>
      </c>
      <c r="G57" s="45">
        <f t="shared" si="0"/>
        <v>21330752</v>
      </c>
      <c r="H57" s="832"/>
      <c r="I57" s="832"/>
      <c r="J57" s="832"/>
    </row>
    <row r="58" spans="1:10" ht="33.75" customHeight="1" x14ac:dyDescent="0.25">
      <c r="A58" s="39" t="s">
        <v>477</v>
      </c>
      <c r="B58" s="37" t="str">
        <f>+APU!C469</f>
        <v>EPA0008</v>
      </c>
      <c r="C58" s="38" t="s">
        <v>695</v>
      </c>
      <c r="D58" s="12" t="s">
        <v>90</v>
      </c>
      <c r="E58" s="49">
        <f>+CANTIDADES!K241</f>
        <v>1010.7030709850574</v>
      </c>
      <c r="F58" s="44">
        <f>+APU!C483</f>
        <v>3956</v>
      </c>
      <c r="G58" s="45">
        <f t="shared" si="0"/>
        <v>3998341</v>
      </c>
      <c r="H58" s="108"/>
      <c r="I58" s="108"/>
      <c r="J58" s="108"/>
    </row>
    <row r="59" spans="1:10" x14ac:dyDescent="0.25">
      <c r="A59" s="107">
        <v>1.6</v>
      </c>
      <c r="B59" s="51"/>
      <c r="C59" s="106" t="s">
        <v>9</v>
      </c>
      <c r="D59" s="105"/>
      <c r="E59" s="46"/>
      <c r="F59" s="8"/>
      <c r="G59" s="50"/>
    </row>
    <row r="60" spans="1:10" ht="46.8" x14ac:dyDescent="0.25">
      <c r="A60" s="39" t="s">
        <v>356</v>
      </c>
      <c r="B60" s="102" t="str">
        <f>+APU!C485</f>
        <v>ITE5580</v>
      </c>
      <c r="C60" s="38" t="str">
        <f>+APU!C486</f>
        <v>ANCLAJE PASIVO EN BARRA DE 1", INCLUYE CENTRALIZADORES, EXCAVACIÓN Y RELLENO EN CONCRETO TIPO GROUTING (CEMENTO + ARENÓN  MEZCLA 1:3)</v>
      </c>
      <c r="D60" s="12" t="str">
        <f>+APU!D499</f>
        <v>m</v>
      </c>
      <c r="E60" s="49">
        <f>+CANTIDADES!I250</f>
        <v>273</v>
      </c>
      <c r="F60" s="45">
        <f>+APU!C499</f>
        <v>210987</v>
      </c>
      <c r="G60" s="45">
        <f t="shared" si="0"/>
        <v>57599451</v>
      </c>
      <c r="H60" s="832"/>
      <c r="I60" s="832"/>
      <c r="J60" s="832"/>
    </row>
    <row r="61" spans="1:10" ht="31.2" x14ac:dyDescent="0.25">
      <c r="A61" s="39" t="s">
        <v>357</v>
      </c>
      <c r="B61" s="102" t="str">
        <f>+APU!C501</f>
        <v>ITE5238</v>
      </c>
      <c r="C61" s="38" t="str">
        <f>+APU!C502</f>
        <v>DRENES SUBHORIZONTALES PVC 3" PERFORADA PARA FILTRO INCLUYE PERFORACIÓN</v>
      </c>
      <c r="D61" s="12" t="str">
        <f>+APU!D514</f>
        <v>m</v>
      </c>
      <c r="E61" s="12">
        <v>120</v>
      </c>
      <c r="F61" s="45">
        <f>+APU!C514</f>
        <v>106233</v>
      </c>
      <c r="G61" s="45">
        <f t="shared" si="0"/>
        <v>12747960</v>
      </c>
      <c r="H61" s="832"/>
      <c r="I61" s="832"/>
      <c r="J61" s="832"/>
    </row>
    <row r="62" spans="1:10" ht="48" customHeight="1" x14ac:dyDescent="0.25">
      <c r="A62" s="39" t="s">
        <v>358</v>
      </c>
      <c r="B62" s="102" t="str">
        <f>+APU!C516</f>
        <v>ITE5765</v>
      </c>
      <c r="C62" s="38" t="str">
        <f>+APU!C517</f>
        <v xml:space="preserve">ANCLAJE EN VARILLA CORRUGADA DE Ø 3/4" (L: 0.30m), SEGÚN DISEÑO, PARA ANCLAR TABLERO DE PROTECCION Y DESVIO DE ENTRADA AL TUNEL N°19 </v>
      </c>
      <c r="D62" s="12" t="str">
        <f>+APU!C518</f>
        <v>Un</v>
      </c>
      <c r="E62" s="42">
        <f>+CANTIDADES!F263</f>
        <v>3</v>
      </c>
      <c r="F62" s="45">
        <f>+APU!C529</f>
        <v>65843</v>
      </c>
      <c r="G62" s="45">
        <f t="shared" si="0"/>
        <v>197529</v>
      </c>
      <c r="H62" s="164"/>
      <c r="I62" s="164"/>
      <c r="J62" s="164"/>
    </row>
    <row r="63" spans="1:10" ht="46.8" x14ac:dyDescent="0.25">
      <c r="A63" s="39" t="s">
        <v>359</v>
      </c>
      <c r="B63" s="102" t="str">
        <f>+APU!C531</f>
        <v>ITE5766</v>
      </c>
      <c r="C63" s="38" t="str">
        <f>+APU!C532</f>
        <v xml:space="preserve">ANCLAJE EN VARILLA CORRUGADA DE Ø 3/4" (L: 0.15m), SEGÚN DISEÑO, PARA ANCLAR TABLERO DE PROTECCION Y DESVIO DE ENTRADA AL TUNEL N°19 </v>
      </c>
      <c r="D63" s="12" t="str">
        <f>+APU!C533</f>
        <v>Un</v>
      </c>
      <c r="E63" s="42">
        <f>+CANTIDADES!G270</f>
        <v>4</v>
      </c>
      <c r="F63" s="45">
        <f>+APU!C544</f>
        <v>62278</v>
      </c>
      <c r="G63" s="45">
        <f t="shared" si="0"/>
        <v>249112</v>
      </c>
    </row>
    <row r="64" spans="1:10" ht="48" customHeight="1" x14ac:dyDescent="0.25">
      <c r="A64" s="39" t="s">
        <v>360</v>
      </c>
      <c r="B64" s="102" t="str">
        <f>+APU!C546</f>
        <v>ITE5764</v>
      </c>
      <c r="C64" s="38" t="str">
        <f>+APU!C547</f>
        <v xml:space="preserve">ANCLAJE EN VARILLA CORRUGADA DE Ø ½", SEGÚN DISEÑO, PARA REFORZAMIENTO DE LA AMPLIACION DEL BOX COULVERT DE ENTRADA AL TUNEL N°19 </v>
      </c>
      <c r="D64" s="12" t="str">
        <f>+APU!C548</f>
        <v>Un</v>
      </c>
      <c r="E64" s="42">
        <f>+CANTIDADES!K277</f>
        <v>140</v>
      </c>
      <c r="F64" s="45">
        <f>+APU!C571</f>
        <v>78407</v>
      </c>
      <c r="G64" s="45">
        <f t="shared" si="0"/>
        <v>10976980</v>
      </c>
    </row>
    <row r="65" spans="1:10" ht="31.2" x14ac:dyDescent="0.25">
      <c r="A65" s="39" t="s">
        <v>361</v>
      </c>
      <c r="B65" s="102" t="str">
        <f>+APU!C561</f>
        <v>ITE5173</v>
      </c>
      <c r="C65" s="38" t="str">
        <f>+APU!C562</f>
        <v>SUMINISTRO Y APLICACIÓN DE ADHESIVO EPOXICO ENTRE CONCRETO VIEJO A CONCRETO NUEVO CON SIKADUR 32 O SIMILAR.</v>
      </c>
      <c r="D65" s="12" t="str">
        <f>+APU!C563</f>
        <v>m2</v>
      </c>
      <c r="E65" s="42">
        <f>+CANTIDADES!H283</f>
        <v>3.5</v>
      </c>
      <c r="F65" s="45">
        <f>+APU!C571</f>
        <v>78407</v>
      </c>
      <c r="G65" s="45">
        <f>ROUND(E65*F65,0)</f>
        <v>274425</v>
      </c>
    </row>
    <row r="66" spans="1:10" ht="31.2" x14ac:dyDescent="0.25">
      <c r="A66" s="39" t="s">
        <v>362</v>
      </c>
      <c r="B66" s="102" t="str">
        <f>+APU!C573</f>
        <v>ITE6558</v>
      </c>
      <c r="C66" s="38" t="str">
        <f>+APU!C574</f>
        <v>MURO EN GAVIONES CON SACOS DE SUELO EN MALLA TRIPLE TORSIÓN C 13</v>
      </c>
      <c r="D66" s="12" t="str">
        <f>+APU!D586</f>
        <v>m3</v>
      </c>
      <c r="E66" s="49">
        <f>+CANTIDADES!J293</f>
        <v>52</v>
      </c>
      <c r="F66" s="45">
        <f>+APU!C586</f>
        <v>140407</v>
      </c>
      <c r="G66" s="45">
        <f t="shared" si="0"/>
        <v>7301164</v>
      </c>
    </row>
    <row r="67" spans="1:10" x14ac:dyDescent="0.25">
      <c r="A67" s="39" t="s">
        <v>363</v>
      </c>
      <c r="B67" s="102" t="str">
        <f>+APU!C588</f>
        <v>EPA0310</v>
      </c>
      <c r="C67" s="38" t="str">
        <f>+APU!C589</f>
        <v>TRINCHOS EN GUADUA H=1m, INCLUYE EXCAVACIÓN</v>
      </c>
      <c r="D67" s="12" t="str">
        <f>+APU!D602</f>
        <v>m</v>
      </c>
      <c r="E67" s="39">
        <f>+CANTIDADES!F302</f>
        <v>56.500000000000007</v>
      </c>
      <c r="F67" s="45">
        <f>+APU!C602</f>
        <v>36344</v>
      </c>
      <c r="G67" s="45">
        <f t="shared" si="0"/>
        <v>2053436</v>
      </c>
      <c r="H67" s="832"/>
      <c r="I67" s="832"/>
      <c r="J67" s="832"/>
    </row>
    <row r="68" spans="1:10" ht="54" customHeight="1" x14ac:dyDescent="0.25">
      <c r="A68" s="39" t="s">
        <v>364</v>
      </c>
      <c r="B68" s="102" t="str">
        <f>+APU!C604</f>
        <v>ITE5155</v>
      </c>
      <c r="C68" s="38" t="str">
        <f>+APU!C605</f>
        <v>SUMINISTRO E INSTALACIÓN DE BOX EN FIBRA DE VIDRIO PARA EL EMPALME ENTRE CONDUCCIÓN EXISTENTE Y CONDUCCIÓN PROVISIONAL SECCIÓN 1.0 x 1.5 m, SEGÚN DISEÑO</v>
      </c>
      <c r="D68" s="12" t="str">
        <f>+APU!D613</f>
        <v xml:space="preserve">Un </v>
      </c>
      <c r="E68" s="49">
        <f>+CANTIDADES!F308</f>
        <v>2</v>
      </c>
      <c r="F68" s="45">
        <f>+APU!C613</f>
        <v>16469536</v>
      </c>
      <c r="G68" s="45">
        <f t="shared" si="0"/>
        <v>32939072</v>
      </c>
    </row>
    <row r="69" spans="1:10" ht="31.2" x14ac:dyDescent="0.25">
      <c r="A69" s="39" t="s">
        <v>365</v>
      </c>
      <c r="B69" s="102" t="str">
        <f>+APU!C615</f>
        <v>ITE7729</v>
      </c>
      <c r="C69" s="38" t="str">
        <f>+APU!C616</f>
        <v>EMPALMES DE BOX EN FIBRA DE VIDRIO A TÚNEL 19, CON SIKATOP 122 O SIMILAR, e = 5cm</v>
      </c>
      <c r="D69" s="12" t="str">
        <f>+APU!D628</f>
        <v>Kg</v>
      </c>
      <c r="E69" s="49">
        <v>297</v>
      </c>
      <c r="F69" s="45">
        <f>+APU!C628</f>
        <v>28119</v>
      </c>
      <c r="G69" s="45">
        <f t="shared" si="0"/>
        <v>8351343</v>
      </c>
    </row>
    <row r="70" spans="1:10" ht="83.25" customHeight="1" x14ac:dyDescent="0.25">
      <c r="A70" s="39" t="s">
        <v>484</v>
      </c>
      <c r="B70" s="102" t="str">
        <f>+APU!C630</f>
        <v>ITE7742</v>
      </c>
      <c r="C70" s="38" t="str">
        <f>+APU!C631</f>
        <v>SUMINISTRO E INSTALACIÓN DE COMPUERTA EN PLÁSTICO POLIPROPILENO 100% TIPO GUILLOTINA, INCLUYE RIELES LATERALES EN PLÁSTICO POLIPROPILENO 100%, CIERRE TIPO CONO, CON ÁREA EFECTIVA 1m X 1m, SEGÚN DISEÑO, INCLUYE VÁSTAGO Y TORRE DE MANIOBRA</v>
      </c>
      <c r="D70" s="12" t="s">
        <v>113</v>
      </c>
      <c r="E70" s="49">
        <f>+CANTIDADES!I321</f>
        <v>2</v>
      </c>
      <c r="F70" s="45">
        <f>+APU!C643</f>
        <v>23557572</v>
      </c>
      <c r="G70" s="45">
        <f t="shared" si="0"/>
        <v>47115144</v>
      </c>
    </row>
    <row r="71" spans="1:10" ht="53.25" customHeight="1" x14ac:dyDescent="0.25">
      <c r="A71" s="39" t="s">
        <v>735</v>
      </c>
      <c r="B71" s="103" t="str">
        <f>+APU!C645</f>
        <v>ITE7743</v>
      </c>
      <c r="C71" s="94" t="str">
        <f>+APU!C646</f>
        <v>SUMINISTRO E INSTALACIÓN DE PANTALLA EN LÁMINA DE ACERO 2.10m X 1.15m, ESPESOR:3/16", REFORZADA CON ÁNGULOS EN ACERO DE 2" X 2" X ¼", INCLUYE ANCLAJES GUÍAS, SEGÚN DISEÑO</v>
      </c>
      <c r="D71" s="82" t="s">
        <v>113</v>
      </c>
      <c r="E71" s="49">
        <f>+CANTIDADES!I327</f>
        <v>2</v>
      </c>
      <c r="F71" s="45">
        <f>+APU!C656</f>
        <v>4832577</v>
      </c>
      <c r="G71" s="45">
        <f t="shared" si="0"/>
        <v>9665154</v>
      </c>
    </row>
    <row r="72" spans="1:10" ht="50.25" customHeight="1" x14ac:dyDescent="0.25">
      <c r="A72" s="39" t="s">
        <v>736</v>
      </c>
      <c r="B72" s="102" t="str">
        <f>+APU!C658</f>
        <v>EPA0209</v>
      </c>
      <c r="C72" s="38" t="str">
        <f>+APU!C659</f>
        <v>CABEZALES DE DESCARGA PARA TUBERÍAS CON DIÁMETROS Ø:6" A Ø:8", INCLUYE REFUERZO, INCLUYE TRASIEGO DE MATERIAL CON USO DE TARABITA</v>
      </c>
      <c r="D72" s="12" t="str">
        <f>+APU!D675</f>
        <v>Un</v>
      </c>
      <c r="E72" s="49">
        <f>+CANTIDADES!I332</f>
        <v>1</v>
      </c>
      <c r="F72" s="45">
        <f>+APU!C675</f>
        <v>615912</v>
      </c>
      <c r="G72" s="45">
        <f t="shared" si="0"/>
        <v>615912</v>
      </c>
      <c r="H72" s="832"/>
      <c r="I72" s="832"/>
      <c r="J72" s="832"/>
    </row>
    <row r="73" spans="1:10" ht="18" customHeight="1" x14ac:dyDescent="0.25">
      <c r="A73" s="39" t="s">
        <v>737</v>
      </c>
      <c r="B73" s="102" t="str">
        <f>+APU!C677</f>
        <v>ITE5129</v>
      </c>
      <c r="C73" s="38" t="str">
        <f>+APU!C678</f>
        <v>PLÁSTICO PARA PROTECCIÓN DE MATERIAL EXCAVADO</v>
      </c>
      <c r="D73" s="12" t="s">
        <v>4</v>
      </c>
      <c r="E73" s="49">
        <f>+CANTIDADES!I345</f>
        <v>593</v>
      </c>
      <c r="F73" s="45">
        <f>+APU!C687</f>
        <v>1652</v>
      </c>
      <c r="G73" s="45">
        <f t="shared" si="0"/>
        <v>979636</v>
      </c>
      <c r="H73" s="109"/>
      <c r="I73" s="109"/>
      <c r="J73" s="109"/>
    </row>
    <row r="74" spans="1:10" ht="15.6" customHeight="1" x14ac:dyDescent="0.25">
      <c r="A74" s="833" t="s">
        <v>189</v>
      </c>
      <c r="B74" s="834"/>
      <c r="C74" s="834"/>
      <c r="D74" s="834"/>
      <c r="E74" s="834"/>
      <c r="F74" s="834"/>
      <c r="G74" s="835"/>
    </row>
    <row r="75" spans="1:10" x14ac:dyDescent="0.25">
      <c r="A75" s="107">
        <v>2.1</v>
      </c>
      <c r="B75" s="39"/>
      <c r="C75" s="106" t="s">
        <v>6</v>
      </c>
      <c r="D75" s="12"/>
      <c r="E75" s="46"/>
      <c r="F75" s="44"/>
      <c r="G75" s="45"/>
    </row>
    <row r="76" spans="1:10" ht="46.8" x14ac:dyDescent="0.25">
      <c r="A76" s="39" t="s">
        <v>366</v>
      </c>
      <c r="B76" s="37" t="str">
        <f>+APU!C689</f>
        <v>ITE6391</v>
      </c>
      <c r="C76" s="38" t="str">
        <f>+APU!C690</f>
        <v>EXCAVACIÓN SUBTERRÁNEA PARA LA CONFORMACIÓN DE LA SECCIÓN DEL TÚNEL, EN CUALQUIER TIPO DE MATERIAL ( INCLUYE DESALOJO DE MATERIAL)</v>
      </c>
      <c r="D76" s="12" t="str">
        <f>+APU!C691</f>
        <v>m3</v>
      </c>
      <c r="E76" s="49">
        <v>440</v>
      </c>
      <c r="F76" s="44">
        <f>+APU!C720</f>
        <v>402717</v>
      </c>
      <c r="G76" s="45">
        <f>ROUND(E76*F76,0)</f>
        <v>177195480</v>
      </c>
    </row>
    <row r="77" spans="1:10" ht="31.2" x14ac:dyDescent="0.25">
      <c r="A77" s="39" t="s">
        <v>367</v>
      </c>
      <c r="B77" s="37" t="str">
        <f>+APU!C722</f>
        <v>ITE5607</v>
      </c>
      <c r="C77" s="38" t="str">
        <f>+APU!C723</f>
        <v>LLENO INTERIOR DEL TÚNEL UTILIZANDO SACOS DE SUELO CEMENTO AL 7%</v>
      </c>
      <c r="D77" s="12" t="str">
        <f>+APU!D735</f>
        <v>m3</v>
      </c>
      <c r="E77" s="39">
        <f>+CANTIDADES!E456</f>
        <v>14.525000000000002</v>
      </c>
      <c r="F77" s="44">
        <f>+APU!C735</f>
        <v>313691</v>
      </c>
      <c r="G77" s="45">
        <f t="shared" ref="G77:G80" si="5">ROUND(E77*F77,0)</f>
        <v>4556362</v>
      </c>
    </row>
    <row r="78" spans="1:10" ht="31.2" x14ac:dyDescent="0.25">
      <c r="A78" s="39" t="s">
        <v>368</v>
      </c>
      <c r="B78" s="37" t="str">
        <f>+APU!C737</f>
        <v>EPA0119</v>
      </c>
      <c r="C78" s="38" t="str">
        <f>+APU!C738</f>
        <v>LLENO COMPACTADO CON MATERIAL GRANULAR, INCLUYE TRASIEGO DE MATERIAL CON USO DE TARABITA</v>
      </c>
      <c r="D78" s="12" t="str">
        <f>+APU!C739</f>
        <v>m3</v>
      </c>
      <c r="E78" s="39">
        <f>+CANTIDADES!I461</f>
        <v>163</v>
      </c>
      <c r="F78" s="44">
        <f>+APU!C751</f>
        <v>149057</v>
      </c>
      <c r="G78" s="45">
        <f t="shared" si="5"/>
        <v>24296291</v>
      </c>
    </row>
    <row r="79" spans="1:10" ht="40.5" customHeight="1" x14ac:dyDescent="0.25">
      <c r="A79" s="39" t="s">
        <v>369</v>
      </c>
      <c r="B79" s="37" t="str">
        <f>+APU!C753</f>
        <v>ITE6346</v>
      </c>
      <c r="C79" s="38" t="str">
        <f>+APU!C754</f>
        <v>TRASIEGO Y DISPOSICIÓN DEL MATERIAL SOBRANTE DE LA EXCAVACIÓN DEL TÚNEL</v>
      </c>
      <c r="D79" s="12" t="str">
        <f>+APU!C755</f>
        <v>m3</v>
      </c>
      <c r="E79" s="49">
        <f>+CANTIDADES!I471</f>
        <v>503</v>
      </c>
      <c r="F79" s="44">
        <f>+APU!C762</f>
        <v>58627</v>
      </c>
      <c r="G79" s="45">
        <f t="shared" si="5"/>
        <v>29489381</v>
      </c>
    </row>
    <row r="80" spans="1:10" ht="47.25" customHeight="1" x14ac:dyDescent="0.25">
      <c r="A80" s="39" t="s">
        <v>370</v>
      </c>
      <c r="B80" s="37" t="str">
        <f>+APU!C764</f>
        <v>ITE5160</v>
      </c>
      <c r="C80" s="38" t="str">
        <f>+APU!C765</f>
        <v>CONCRETO PARA SOLADO Y RENIVELACION DE RASANTE, EN CONCRETO DE f'c 21 MPa (3.000 PSI), espesor prom=0.05 m, INCLUYE TRASIEGO DE MATERIAL CON USO DE TARABITA</v>
      </c>
      <c r="D80" s="95" t="str">
        <f>+APU!C766</f>
        <v>m3</v>
      </c>
      <c r="E80" s="49">
        <f>+CANTIDADES!I477</f>
        <v>78</v>
      </c>
      <c r="F80" s="44">
        <f>+APU!C775</f>
        <v>527694</v>
      </c>
      <c r="G80" s="45">
        <f t="shared" si="5"/>
        <v>41160132</v>
      </c>
    </row>
    <row r="81" spans="1:10" x14ac:dyDescent="0.25">
      <c r="A81" s="107">
        <v>2.2000000000000002</v>
      </c>
      <c r="B81" s="39"/>
      <c r="C81" s="106" t="s">
        <v>8</v>
      </c>
      <c r="D81" s="12"/>
      <c r="E81" s="39"/>
      <c r="F81" s="44"/>
      <c r="G81" s="45"/>
    </row>
    <row r="82" spans="1:10" ht="33" customHeight="1" x14ac:dyDescent="0.25">
      <c r="A82" s="39" t="s">
        <v>371</v>
      </c>
      <c r="B82" s="39" t="str">
        <f>APU!C777</f>
        <v>ITE6398</v>
      </c>
      <c r="C82" s="38" t="str">
        <f>APU!C778</f>
        <v>CONCRETO DE 28 MPa PARA PISO DE TÚNELES e=0.30 m, INCLUYE TRASIEGO DE MATERIAL CON USO DE TARABITA</v>
      </c>
      <c r="D82" s="12" t="str">
        <f>APU!D805</f>
        <v>m3</v>
      </c>
      <c r="E82" s="49">
        <f>+CANTIDADES!J485</f>
        <v>195</v>
      </c>
      <c r="F82" s="44">
        <f>APU!C805</f>
        <v>789199</v>
      </c>
      <c r="G82" s="45">
        <f t="shared" ref="G82:G84" si="6">ROUND(E82*F82,0)</f>
        <v>153893805</v>
      </c>
    </row>
    <row r="83" spans="1:10" ht="32.25" customHeight="1" x14ac:dyDescent="0.25">
      <c r="A83" s="39" t="s">
        <v>372</v>
      </c>
      <c r="B83" s="39" t="str">
        <f>+APU!C807</f>
        <v>ITE6396</v>
      </c>
      <c r="C83" s="38" t="str">
        <f>+APU!C808</f>
        <v>CONCRETO LANZADO PARA TÚNELES, INCLUYE MALLA ELECTROSOLDADA, LLORADEROS Y ANCLAJES PARA MALLA</v>
      </c>
      <c r="D83" s="12" t="str">
        <f>+APU!C809</f>
        <v>m3</v>
      </c>
      <c r="E83" s="49">
        <f>+CANTIDADES!J490</f>
        <v>243</v>
      </c>
      <c r="F83" s="44">
        <f>+APU!C841</f>
        <v>1456949</v>
      </c>
      <c r="G83" s="45">
        <f t="shared" si="6"/>
        <v>354038607</v>
      </c>
    </row>
    <row r="84" spans="1:10" ht="31.2" x14ac:dyDescent="0.25">
      <c r="A84" s="39" t="s">
        <v>373</v>
      </c>
      <c r="B84" s="39" t="str">
        <f>+APU!C843</f>
        <v>ITE5268</v>
      </c>
      <c r="C84" s="38" t="str">
        <f>+APU!C844</f>
        <v>MUROS Y BÓVEDA EN CONCRETO IMPERMEABILIZADO DE f'c 28 MPa, e= 0,30 m, INCLUYE TRASIEGO DE MATERIAL CON USO DE TARABITA</v>
      </c>
      <c r="D84" s="12" t="str">
        <f>+APU!D860</f>
        <v>m3</v>
      </c>
      <c r="E84" s="39">
        <f>+CANTIDADES!K498</f>
        <v>234</v>
      </c>
      <c r="F84" s="44">
        <f>+APU!C860</f>
        <v>931628</v>
      </c>
      <c r="G84" s="45">
        <f t="shared" si="6"/>
        <v>218000952</v>
      </c>
    </row>
    <row r="85" spans="1:10" x14ac:dyDescent="0.25">
      <c r="A85" s="107">
        <v>2.2999999999999998</v>
      </c>
      <c r="B85" s="37"/>
      <c r="C85" s="106" t="s">
        <v>109</v>
      </c>
      <c r="D85" s="12"/>
      <c r="E85" s="49"/>
      <c r="F85" s="44"/>
      <c r="G85" s="50"/>
    </row>
    <row r="86" spans="1:10" ht="31.5" customHeight="1" x14ac:dyDescent="0.25">
      <c r="A86" s="39" t="s">
        <v>374</v>
      </c>
      <c r="B86" s="39" t="str">
        <f>+APU!C469</f>
        <v>EPA0008</v>
      </c>
      <c r="C86" s="38" t="s">
        <v>780</v>
      </c>
      <c r="D86" s="12" t="str">
        <f>+APU!C471</f>
        <v>Kg</v>
      </c>
      <c r="E86" s="49">
        <f>+CANTIDADES!L537</f>
        <v>45026.9712</v>
      </c>
      <c r="F86" s="44">
        <f>+APU!C483</f>
        <v>3956</v>
      </c>
      <c r="G86" s="45">
        <f>ROUND(E86*F86,0)</f>
        <v>178126698</v>
      </c>
      <c r="H86" s="832"/>
      <c r="I86" s="832"/>
      <c r="J86" s="832"/>
    </row>
    <row r="87" spans="1:10" x14ac:dyDescent="0.25">
      <c r="A87" s="107">
        <v>2.4</v>
      </c>
      <c r="B87" s="51"/>
      <c r="C87" s="106" t="s">
        <v>9</v>
      </c>
      <c r="D87" s="105"/>
      <c r="E87" s="46"/>
      <c r="F87" s="8"/>
      <c r="G87" s="50"/>
    </row>
    <row r="88" spans="1:10" x14ac:dyDescent="0.25">
      <c r="A88" s="39" t="s">
        <v>375</v>
      </c>
      <c r="B88" s="39" t="str">
        <f>+APU!C992</f>
        <v>ITE7746</v>
      </c>
      <c r="C88" s="38" t="s">
        <v>190</v>
      </c>
      <c r="D88" s="12" t="s">
        <v>102</v>
      </c>
      <c r="E88" s="49">
        <v>1</v>
      </c>
      <c r="F88" s="44">
        <f>+APU!C1007</f>
        <v>2218200</v>
      </c>
      <c r="G88" s="45">
        <f>ROUND(E88*F88,0)</f>
        <v>2218200</v>
      </c>
    </row>
    <row r="89" spans="1:10" x14ac:dyDescent="0.25">
      <c r="A89" s="39" t="s">
        <v>376</v>
      </c>
      <c r="B89" s="39" t="str">
        <f>+APU!C862</f>
        <v>ITE528</v>
      </c>
      <c r="C89" s="38" t="str">
        <f>+APU!C863</f>
        <v>JUNTA DE CONTRACCIÓN Y CONSTRUCCIÓN CON CINTA PVC V - 15</v>
      </c>
      <c r="D89" s="12" t="str">
        <f>+APU!C864</f>
        <v>m</v>
      </c>
      <c r="E89" s="49">
        <f>+CANTIDADES!I547</f>
        <v>698.2</v>
      </c>
      <c r="F89" s="44">
        <f>+APU!C873</f>
        <v>30697</v>
      </c>
      <c r="G89" s="45">
        <f t="shared" ref="G89:G93" si="7">ROUND(E89*F89,0)</f>
        <v>21432645</v>
      </c>
    </row>
    <row r="90" spans="1:10" x14ac:dyDescent="0.25">
      <c r="A90" s="39" t="s">
        <v>377</v>
      </c>
      <c r="B90" s="39" t="str">
        <f>+APU!C875</f>
        <v>ITE5050</v>
      </c>
      <c r="C90" s="38" t="str">
        <f>+APU!C876</f>
        <v>JUNTA DE EXPANSIÓN CON CINTA PVC O-22, INCLUYE SELLADOR.</v>
      </c>
      <c r="D90" s="12" t="str">
        <f>+APU!C877</f>
        <v>m</v>
      </c>
      <c r="E90" s="49">
        <v>85</v>
      </c>
      <c r="F90" s="44">
        <f>+APU!C888</f>
        <v>82864</v>
      </c>
      <c r="G90" s="45">
        <f t="shared" si="7"/>
        <v>7043440</v>
      </c>
    </row>
    <row r="91" spans="1:10" ht="47.25" customHeight="1" x14ac:dyDescent="0.25">
      <c r="A91" s="39" t="s">
        <v>378</v>
      </c>
      <c r="B91" s="39" t="str">
        <f>+APU!C890</f>
        <v>ITE6709</v>
      </c>
      <c r="C91" s="38" t="str">
        <f>+APU!C891</f>
        <v>PUERTA EN TUBERÍA GALVANIZADA DE 1 ½" PARA CERRAMIENTO DE ACCESOS LATERALES, INCLUYE ENTRE OTROS EXCAVACIÓN, COLUMNAS DE 3.000 psi, REFUERZO, CHAPA, PASADOR</v>
      </c>
      <c r="D91" s="12" t="str">
        <f>+APU!C892</f>
        <v>Und</v>
      </c>
      <c r="E91" s="49">
        <v>3</v>
      </c>
      <c r="F91" s="44">
        <f>+APU!C913</f>
        <v>396624</v>
      </c>
      <c r="G91" s="45">
        <f t="shared" si="7"/>
        <v>1189872</v>
      </c>
    </row>
    <row r="92" spans="1:10" ht="31.2" x14ac:dyDescent="0.25">
      <c r="A92" s="39" t="s">
        <v>409</v>
      </c>
      <c r="B92" s="39" t="str">
        <f>+APU!C915</f>
        <v>EPA0205</v>
      </c>
      <c r="C92" s="38" t="str">
        <f>+APU!C916</f>
        <v>PLANO RECORD DE OBRA Y FORMATOS DE LOCALIZACION DE VENTANAS, LIGADOS AL SISTEMA SIG EMPLEADO POR LA EMPRESA</v>
      </c>
      <c r="D92" s="12" t="str">
        <f>+APU!C917</f>
        <v>Día</v>
      </c>
      <c r="E92" s="49">
        <v>4</v>
      </c>
      <c r="F92" s="44">
        <f>+APU!C928</f>
        <v>592295</v>
      </c>
      <c r="G92" s="45">
        <f t="shared" si="7"/>
        <v>2369180</v>
      </c>
    </row>
    <row r="93" spans="1:10" x14ac:dyDescent="0.25">
      <c r="A93" s="39" t="s">
        <v>411</v>
      </c>
      <c r="B93" s="39" t="str">
        <f>+APU!C930</f>
        <v>ITE7746</v>
      </c>
      <c r="C93" s="38" t="str">
        <f>+APU!C931</f>
        <v>MANEJO DE AGUAS, PARA LAS OBRAS AL INTERIOR DEL TUNEL</v>
      </c>
      <c r="D93" s="12" t="str">
        <f>+APU!C932</f>
        <v>Gl</v>
      </c>
      <c r="E93" s="49">
        <v>1</v>
      </c>
      <c r="F93" s="44">
        <f>+APU!C941</f>
        <v>15603733</v>
      </c>
      <c r="G93" s="45">
        <f t="shared" si="7"/>
        <v>15603733</v>
      </c>
    </row>
    <row r="94" spans="1:10" x14ac:dyDescent="0.25">
      <c r="A94" s="833" t="s">
        <v>201</v>
      </c>
      <c r="B94" s="834"/>
      <c r="C94" s="834"/>
      <c r="D94" s="834"/>
      <c r="E94" s="834"/>
      <c r="F94" s="834"/>
      <c r="G94" s="835"/>
    </row>
    <row r="95" spans="1:10" x14ac:dyDescent="0.25">
      <c r="A95" s="43">
        <v>3.1</v>
      </c>
      <c r="B95" s="39"/>
      <c r="C95" s="93" t="s">
        <v>6</v>
      </c>
      <c r="D95" s="12"/>
      <c r="E95" s="46"/>
      <c r="F95" s="44"/>
      <c r="G95" s="45"/>
    </row>
    <row r="96" spans="1:10" x14ac:dyDescent="0.25">
      <c r="A96" s="48" t="s">
        <v>379</v>
      </c>
      <c r="B96" s="37" t="str">
        <f>+APU!C161</f>
        <v>EPA0044</v>
      </c>
      <c r="C96" s="38" t="str">
        <f>+APU!C162</f>
        <v>EXCAVACIÓN CONGLOMERADO &lt; 2 m</v>
      </c>
      <c r="D96" s="12" t="str">
        <f>+APU!C163</f>
        <v>m3</v>
      </c>
      <c r="E96" s="49">
        <f>ROUND(CANTIDADES!O584,0)</f>
        <v>1063</v>
      </c>
      <c r="F96" s="44">
        <f>+APU!C171</f>
        <v>25203</v>
      </c>
      <c r="G96" s="45">
        <f t="shared" ref="G96:G99" si="8">ROUND(E96*F96,0)</f>
        <v>26790789</v>
      </c>
      <c r="H96" s="832"/>
      <c r="I96" s="832"/>
      <c r="J96" s="832"/>
    </row>
    <row r="97" spans="1:10" ht="50.25" customHeight="1" x14ac:dyDescent="0.25">
      <c r="A97" s="48" t="s">
        <v>380</v>
      </c>
      <c r="B97" s="37" t="str">
        <f>+APU!C958</f>
        <v>ITE7731</v>
      </c>
      <c r="C97" s="38" t="str">
        <f>+APU!C959</f>
        <v>RECUPERACIÓN DE TUBERÍA PEAD ALCANTARILLADO DN 900 mm (Φ36"), INCLUYE TRASLADO A INSTALACIONES EPA, (DEBE INCLUIR ACOMPAÑAMIENTO DEL PROVEEDOR DE LA TUBERIA)</v>
      </c>
      <c r="D97" s="12" t="str">
        <f>+APU!D968</f>
        <v>m</v>
      </c>
      <c r="E97" s="49">
        <f>ROUND(CANTIDADES!G584,0)</f>
        <v>323</v>
      </c>
      <c r="F97" s="44">
        <f>+APU!C968</f>
        <v>35115</v>
      </c>
      <c r="G97" s="45">
        <f t="shared" si="8"/>
        <v>11342145</v>
      </c>
    </row>
    <row r="98" spans="1:10" x14ac:dyDescent="0.25">
      <c r="A98" s="48" t="s">
        <v>381</v>
      </c>
      <c r="B98" s="37" t="str">
        <f>+APU!C200</f>
        <v>EPA0116</v>
      </c>
      <c r="C98" s="38" t="str">
        <f>+APU!C201</f>
        <v>LLENO COMPACTADO CON MATERIAL DEL SITIO</v>
      </c>
      <c r="D98" s="12" t="str">
        <f>+APU!D211</f>
        <v>m3</v>
      </c>
      <c r="E98" s="49">
        <f>ROUND(CANTIDADES!I592,0)</f>
        <v>1170</v>
      </c>
      <c r="F98" s="44">
        <f>+APU!C211</f>
        <v>15235</v>
      </c>
      <c r="G98" s="45">
        <f t="shared" si="8"/>
        <v>17824950</v>
      </c>
    </row>
    <row r="99" spans="1:10" ht="48.75" customHeight="1" x14ac:dyDescent="0.25">
      <c r="A99" s="48" t="s">
        <v>382</v>
      </c>
      <c r="B99" s="37" t="str">
        <f>+APU!C213</f>
        <v>EPA0021</v>
      </c>
      <c r="C99" s="38" t="str">
        <f>+APU!C214</f>
        <v>CARGUE Y RETIRO MATERIAL SOBRANTE MAS ESCOMBROS, INCLUYE TRANSPORTE Y DISPOSICION DE ESCOMBROS, INCLUYE TRASIEGO DE MATERIAL CON USO DE TARABITA</v>
      </c>
      <c r="D99" s="12" t="str">
        <f>+APU!D226</f>
        <v>m3</v>
      </c>
      <c r="E99" s="49">
        <f>ROUND(CANTIDADES!R584,0)</f>
        <v>193</v>
      </c>
      <c r="F99" s="44">
        <f>+APU!C226</f>
        <v>54198</v>
      </c>
      <c r="G99" s="45">
        <f t="shared" si="8"/>
        <v>10460214</v>
      </c>
      <c r="H99" s="832"/>
      <c r="I99" s="832"/>
      <c r="J99" s="832"/>
    </row>
    <row r="100" spans="1:10" x14ac:dyDescent="0.25">
      <c r="A100" s="35"/>
      <c r="B100" s="35"/>
      <c r="C100" s="35"/>
      <c r="D100" s="33"/>
      <c r="E100" s="33"/>
      <c r="F100" s="34"/>
      <c r="G100" s="34"/>
    </row>
    <row r="101" spans="1:10" x14ac:dyDescent="0.25">
      <c r="A101" s="833"/>
      <c r="B101" s="834"/>
      <c r="C101" s="834"/>
      <c r="D101" s="834"/>
      <c r="E101" s="834"/>
      <c r="F101" s="834"/>
      <c r="G101" s="835"/>
    </row>
    <row r="102" spans="1:10" x14ac:dyDescent="0.25">
      <c r="A102" s="35"/>
      <c r="B102" s="35"/>
      <c r="C102" s="35"/>
      <c r="D102" s="33"/>
      <c r="E102" s="33"/>
      <c r="F102" s="34"/>
      <c r="G102" s="34"/>
    </row>
    <row r="103" spans="1:10" x14ac:dyDescent="0.25">
      <c r="A103" s="33"/>
      <c r="B103" s="33"/>
      <c r="C103" s="41" t="s">
        <v>10</v>
      </c>
      <c r="D103" s="31"/>
      <c r="E103" s="31"/>
      <c r="F103" s="7"/>
      <c r="G103" s="8">
        <f>SUM(G9:G100)</f>
        <v>2334941646</v>
      </c>
    </row>
    <row r="104" spans="1:10" x14ac:dyDescent="0.25">
      <c r="A104" s="33"/>
      <c r="B104" s="33"/>
      <c r="C104" s="41" t="s">
        <v>40</v>
      </c>
      <c r="D104" s="54">
        <v>0.35</v>
      </c>
      <c r="E104" s="31"/>
      <c r="F104" s="7"/>
      <c r="G104" s="8">
        <f>G103*D104</f>
        <v>817229576.0999999</v>
      </c>
    </row>
    <row r="105" spans="1:10" x14ac:dyDescent="0.25">
      <c r="A105" s="33"/>
      <c r="B105" s="33"/>
      <c r="C105" s="41" t="s">
        <v>11</v>
      </c>
      <c r="D105" s="31"/>
      <c r="E105" s="31"/>
      <c r="F105" s="7"/>
      <c r="G105" s="8">
        <f>ROUND(SUM(G103:G104),0)</f>
        <v>3152171222</v>
      </c>
    </row>
  </sheetData>
  <dataConsolidate/>
  <mergeCells count="23">
    <mergeCell ref="A101:G101"/>
    <mergeCell ref="H51:J51"/>
    <mergeCell ref="H57:J57"/>
    <mergeCell ref="H86:J86"/>
    <mergeCell ref="H96:J96"/>
    <mergeCell ref="H99:J99"/>
    <mergeCell ref="A94:G94"/>
    <mergeCell ref="A74:G74"/>
    <mergeCell ref="H60:J60"/>
    <mergeCell ref="H61:J61"/>
    <mergeCell ref="H67:J67"/>
    <mergeCell ref="H72:J72"/>
    <mergeCell ref="A1:C5"/>
    <mergeCell ref="D2:G2"/>
    <mergeCell ref="D3:G3"/>
    <mergeCell ref="D4:G4"/>
    <mergeCell ref="D1:G1"/>
    <mergeCell ref="D5:G5"/>
    <mergeCell ref="H12:J12"/>
    <mergeCell ref="H17:J17"/>
    <mergeCell ref="H27:J27"/>
    <mergeCell ref="H40:J40"/>
    <mergeCell ref="A8:G8"/>
  </mergeCells>
  <phoneticPr fontId="61" type="noConversion"/>
  <printOptions horizontalCentered="1"/>
  <pageMargins left="0.59055118110236227" right="0.59055118110236227" top="0.74803149606299213" bottom="0.74803149606299213" header="0.31496062992125984" footer="0.31496062992125984"/>
  <pageSetup scale="65" orientation="portrait" horizontalDpi="300" verticalDpi="300" r:id="rId1"/>
  <rowBreaks count="2" manualBreakCount="2">
    <brk id="40" max="6" man="1"/>
    <brk id="64" max="6" man="1"/>
  </rowBreaks>
  <ignoredErrors>
    <ignoredError sqref="E5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A1:AB1007"/>
  <sheetViews>
    <sheetView view="pageBreakPreview" topLeftCell="A476" zoomScale="85" zoomScaleNormal="115" zoomScaleSheetLayoutView="85" workbookViewId="0">
      <selection activeCell="H28" sqref="H28"/>
    </sheetView>
  </sheetViews>
  <sheetFormatPr baseColWidth="10" defaultColWidth="11.44140625" defaultRowHeight="14.4" x14ac:dyDescent="0.3"/>
  <cols>
    <col min="1" max="1" width="7.6640625" style="227" customWidth="1"/>
    <col min="2" max="2" width="41.109375" style="227" customWidth="1"/>
    <col min="3" max="3" width="10.33203125" style="227" bestFit="1" customWidth="1"/>
    <col min="4" max="4" width="10.109375" style="512" customWidth="1"/>
    <col min="5" max="5" width="15.44140625" style="368" customWidth="1"/>
    <col min="6" max="6" width="13" style="227" customWidth="1"/>
    <col min="7" max="7" width="14.6640625" style="227" customWidth="1"/>
    <col min="8" max="8" width="12.6640625" style="227" customWidth="1"/>
    <col min="9" max="9" width="11.6640625" style="227" customWidth="1"/>
    <col min="10" max="10" width="11.44140625" style="227"/>
    <col min="11" max="11" width="13.6640625" style="227" bestFit="1" customWidth="1"/>
    <col min="12" max="12" width="10.33203125" style="227" customWidth="1"/>
    <col min="13" max="13" width="10.109375" style="227" customWidth="1"/>
    <col min="14" max="14" width="15.44140625" style="227" customWidth="1"/>
    <col min="15" max="15" width="11.88671875" style="227" customWidth="1"/>
    <col min="16" max="16" width="14.5546875" style="227" customWidth="1"/>
    <col min="17" max="17" width="15.33203125" style="227" customWidth="1"/>
    <col min="18" max="18" width="18.109375" style="227" customWidth="1"/>
    <col min="19" max="16384" width="11.44140625" style="227"/>
  </cols>
  <sheetData>
    <row r="1" spans="1:9" s="459" customFormat="1" ht="15" customHeight="1" x14ac:dyDescent="0.25">
      <c r="A1" s="779"/>
      <c r="B1" s="779"/>
      <c r="C1" s="1106" t="s">
        <v>917</v>
      </c>
      <c r="D1" s="1106"/>
      <c r="E1" s="1106"/>
      <c r="F1" s="1106"/>
      <c r="G1" s="1106"/>
      <c r="H1" s="1106"/>
      <c r="I1" s="1106"/>
    </row>
    <row r="2" spans="1:9" s="459" customFormat="1" ht="15" customHeight="1" x14ac:dyDescent="0.25">
      <c r="A2" s="779"/>
      <c r="B2" s="779"/>
      <c r="C2" s="1106"/>
      <c r="D2" s="1106"/>
      <c r="E2" s="1106"/>
      <c r="F2" s="1106"/>
      <c r="G2" s="1106"/>
      <c r="H2" s="1106"/>
      <c r="I2" s="1106"/>
    </row>
    <row r="3" spans="1:9" s="459" customFormat="1" ht="15" customHeight="1" x14ac:dyDescent="0.25">
      <c r="A3" s="779"/>
      <c r="B3" s="779"/>
      <c r="C3" s="1106"/>
      <c r="D3" s="1106"/>
      <c r="E3" s="1106"/>
      <c r="F3" s="1106"/>
      <c r="G3" s="1106"/>
      <c r="H3" s="1106"/>
      <c r="I3" s="1106"/>
    </row>
    <row r="4" spans="1:9" s="459" customFormat="1" ht="15" customHeight="1" x14ac:dyDescent="0.25">
      <c r="A4" s="779"/>
      <c r="B4" s="779"/>
      <c r="C4" s="1106"/>
      <c r="D4" s="1106"/>
      <c r="E4" s="1106"/>
      <c r="F4" s="1106"/>
      <c r="G4" s="1106"/>
      <c r="H4" s="1106"/>
      <c r="I4" s="1106"/>
    </row>
    <row r="5" spans="1:9" s="459" customFormat="1" ht="3" customHeight="1" x14ac:dyDescent="0.25">
      <c r="A5" s="791"/>
      <c r="B5" s="792"/>
      <c r="C5" s="792"/>
      <c r="D5" s="792"/>
      <c r="E5" s="792"/>
      <c r="F5" s="792"/>
      <c r="G5" s="792"/>
      <c r="H5" s="792"/>
      <c r="I5" s="792"/>
    </row>
    <row r="6" spans="1:9" s="459" customFormat="1" ht="12.75" customHeight="1" x14ac:dyDescent="0.25">
      <c r="A6" s="1107" t="s">
        <v>918</v>
      </c>
      <c r="B6" s="1108"/>
      <c r="C6" s="1111" t="s">
        <v>880</v>
      </c>
      <c r="D6" s="1112"/>
      <c r="E6" s="1112"/>
      <c r="F6" s="1113"/>
      <c r="G6" s="460" t="s">
        <v>875</v>
      </c>
      <c r="H6" s="460" t="s">
        <v>876</v>
      </c>
      <c r="I6" s="460" t="s">
        <v>877</v>
      </c>
    </row>
    <row r="7" spans="1:9" s="463" customFormat="1" ht="36.75" customHeight="1" x14ac:dyDescent="0.25">
      <c r="A7" s="1109"/>
      <c r="B7" s="1110"/>
      <c r="C7" s="1114"/>
      <c r="D7" s="1115"/>
      <c r="E7" s="1115"/>
      <c r="F7" s="1116"/>
      <c r="G7" s="462">
        <v>2020</v>
      </c>
      <c r="H7" s="462">
        <v>7</v>
      </c>
      <c r="I7" s="462">
        <v>7</v>
      </c>
    </row>
    <row r="8" spans="1:9" ht="11.25" customHeight="1" thickBot="1" x14ac:dyDescent="0.35">
      <c r="A8" s="397"/>
      <c r="B8" s="397"/>
      <c r="C8" s="397"/>
      <c r="D8" s="517"/>
      <c r="E8" s="398"/>
      <c r="F8" s="397"/>
      <c r="G8" s="397"/>
      <c r="H8" s="397"/>
      <c r="I8" s="397"/>
    </row>
    <row r="9" spans="1:9" ht="16.2" thickTop="1" x14ac:dyDescent="0.3">
      <c r="A9" s="870" t="s">
        <v>35</v>
      </c>
      <c r="B9" s="871"/>
      <c r="C9" s="872" t="s">
        <v>209</v>
      </c>
      <c r="D9" s="873"/>
      <c r="E9" s="873"/>
      <c r="F9" s="873"/>
      <c r="G9" s="873"/>
      <c r="H9" s="873"/>
      <c r="I9" s="874"/>
    </row>
    <row r="10" spans="1:9" ht="15.6" x14ac:dyDescent="0.3">
      <c r="A10" s="875" t="s">
        <v>12</v>
      </c>
      <c r="B10" s="876"/>
      <c r="C10" s="877" t="s">
        <v>305</v>
      </c>
      <c r="D10" s="878"/>
      <c r="E10" s="878"/>
      <c r="F10" s="878"/>
      <c r="G10" s="878"/>
      <c r="H10" s="878"/>
      <c r="I10" s="879"/>
    </row>
    <row r="11" spans="1:9" ht="15.6" x14ac:dyDescent="0.3">
      <c r="A11" s="875" t="s">
        <v>13</v>
      </c>
      <c r="B11" s="876"/>
      <c r="C11" s="877" t="s">
        <v>5</v>
      </c>
      <c r="D11" s="878"/>
      <c r="E11" s="878"/>
      <c r="F11" s="878"/>
      <c r="G11" s="878"/>
      <c r="H11" s="878"/>
      <c r="I11" s="879"/>
    </row>
    <row r="12" spans="1:9" ht="15.6" x14ac:dyDescent="0.3">
      <c r="A12" s="880" t="s">
        <v>14</v>
      </c>
      <c r="B12" s="882" t="s">
        <v>15</v>
      </c>
      <c r="C12" s="883" t="s">
        <v>16</v>
      </c>
      <c r="D12" s="885" t="s">
        <v>17</v>
      </c>
      <c r="E12" s="887" t="s">
        <v>18</v>
      </c>
      <c r="F12" s="889" t="s">
        <v>19</v>
      </c>
      <c r="G12" s="890"/>
      <c r="H12" s="890"/>
      <c r="I12" s="891"/>
    </row>
    <row r="13" spans="1:9" ht="31.8" thickBot="1" x14ac:dyDescent="0.35">
      <c r="A13" s="881"/>
      <c r="B13" s="883"/>
      <c r="C13" s="884"/>
      <c r="D13" s="886"/>
      <c r="E13" s="888"/>
      <c r="F13" s="481" t="s">
        <v>20</v>
      </c>
      <c r="G13" s="481" t="s">
        <v>21</v>
      </c>
      <c r="H13" s="481" t="s">
        <v>22</v>
      </c>
      <c r="I13" s="362" t="s">
        <v>23</v>
      </c>
    </row>
    <row r="14" spans="1:9" ht="16.8" thickTop="1" thickBot="1" x14ac:dyDescent="0.35">
      <c r="A14" s="380"/>
      <c r="B14" s="380"/>
      <c r="C14" s="380"/>
      <c r="D14" s="518"/>
      <c r="E14" s="381"/>
      <c r="F14" s="380"/>
      <c r="G14" s="380"/>
      <c r="H14" s="380"/>
      <c r="I14" s="380"/>
    </row>
    <row r="15" spans="1:9" ht="16.2" thickTop="1" x14ac:dyDescent="0.3">
      <c r="A15" s="375" t="s">
        <v>24</v>
      </c>
      <c r="B15" s="377" t="s">
        <v>27</v>
      </c>
      <c r="C15" s="383" t="s">
        <v>208</v>
      </c>
      <c r="D15" s="519">
        <v>0.04</v>
      </c>
      <c r="E15" s="367">
        <f>+F16</f>
        <v>2238.16</v>
      </c>
      <c r="F15" s="394">
        <f t="shared" ref="F15:F20" si="0">IF(A15="MO",D15*E15,"")</f>
        <v>89.526399999999995</v>
      </c>
      <c r="G15" s="394" t="str">
        <f t="shared" ref="G15:G20" si="1">IF(A15="MA",D15*E15,"")</f>
        <v/>
      </c>
      <c r="H15" s="394" t="str">
        <f t="shared" ref="H15:H20" si="2">IF(A15="HE",D15*E15,"")</f>
        <v/>
      </c>
      <c r="I15" s="395" t="str">
        <f t="shared" ref="I15:I20" si="3">IF(A15="OT",D15*E15,"")</f>
        <v/>
      </c>
    </row>
    <row r="16" spans="1:9" ht="15.6" x14ac:dyDescent="0.3">
      <c r="A16" s="350" t="s">
        <v>24</v>
      </c>
      <c r="B16" s="349" t="s">
        <v>211</v>
      </c>
      <c r="C16" s="383" t="s">
        <v>36</v>
      </c>
      <c r="D16" s="520">
        <v>5.0000000000000001E-3</v>
      </c>
      <c r="E16" s="367">
        <f>+'M.O 2020'!B17</f>
        <v>447632</v>
      </c>
      <c r="F16" s="322">
        <f t="shared" si="0"/>
        <v>2238.16</v>
      </c>
      <c r="G16" s="322" t="str">
        <f t="shared" si="1"/>
        <v/>
      </c>
      <c r="H16" s="322" t="str">
        <f t="shared" si="2"/>
        <v/>
      </c>
      <c r="I16" s="323" t="str">
        <f t="shared" si="3"/>
        <v/>
      </c>
    </row>
    <row r="17" spans="1:9" ht="15.6" x14ac:dyDescent="0.3">
      <c r="A17" s="350" t="s">
        <v>29</v>
      </c>
      <c r="B17" s="349" t="s">
        <v>212</v>
      </c>
      <c r="C17" s="383" t="s">
        <v>210</v>
      </c>
      <c r="D17" s="520">
        <v>5.0000000000000001E-3</v>
      </c>
      <c r="E17" s="367">
        <v>104000</v>
      </c>
      <c r="F17" s="322" t="str">
        <f t="shared" si="0"/>
        <v/>
      </c>
      <c r="G17" s="322" t="str">
        <f t="shared" si="1"/>
        <v/>
      </c>
      <c r="H17" s="322">
        <f t="shared" si="2"/>
        <v>520</v>
      </c>
      <c r="I17" s="323" t="str">
        <f t="shared" si="3"/>
        <v/>
      </c>
    </row>
    <row r="18" spans="1:9" ht="15.6" x14ac:dyDescent="0.3">
      <c r="A18" s="350" t="s">
        <v>32</v>
      </c>
      <c r="B18" s="349" t="s">
        <v>114</v>
      </c>
      <c r="C18" s="383" t="s">
        <v>205</v>
      </c>
      <c r="D18" s="520">
        <v>7.0000000000000007E-2</v>
      </c>
      <c r="E18" s="367">
        <v>4150</v>
      </c>
      <c r="F18" s="322" t="str">
        <f t="shared" si="0"/>
        <v/>
      </c>
      <c r="G18" s="322">
        <f t="shared" si="1"/>
        <v>290.5</v>
      </c>
      <c r="H18" s="322" t="str">
        <f t="shared" si="2"/>
        <v/>
      </c>
      <c r="I18" s="323" t="str">
        <f t="shared" si="3"/>
        <v/>
      </c>
    </row>
    <row r="19" spans="1:9" ht="15.6" x14ac:dyDescent="0.3">
      <c r="A19" s="375" t="s">
        <v>29</v>
      </c>
      <c r="B19" s="377" t="s">
        <v>115</v>
      </c>
      <c r="C19" s="383" t="s">
        <v>208</v>
      </c>
      <c r="D19" s="519">
        <v>0.05</v>
      </c>
      <c r="E19" s="367">
        <f>+F16</f>
        <v>2238.16</v>
      </c>
      <c r="F19" s="322" t="str">
        <f t="shared" si="0"/>
        <v/>
      </c>
      <c r="G19" s="322" t="str">
        <f t="shared" si="1"/>
        <v/>
      </c>
      <c r="H19" s="322">
        <f t="shared" si="2"/>
        <v>111.908</v>
      </c>
      <c r="I19" s="323" t="str">
        <f t="shared" si="3"/>
        <v/>
      </c>
    </row>
    <row r="20" spans="1:9" ht="15.6" x14ac:dyDescent="0.3">
      <c r="A20" s="350" t="s">
        <v>32</v>
      </c>
      <c r="B20" s="349" t="s">
        <v>213</v>
      </c>
      <c r="C20" s="383" t="s">
        <v>205</v>
      </c>
      <c r="D20" s="520">
        <v>0.03</v>
      </c>
      <c r="E20" s="367">
        <v>2850</v>
      </c>
      <c r="F20" s="322" t="str">
        <f t="shared" si="0"/>
        <v/>
      </c>
      <c r="G20" s="322">
        <f t="shared" si="1"/>
        <v>85.5</v>
      </c>
      <c r="H20" s="322" t="str">
        <f t="shared" si="2"/>
        <v/>
      </c>
      <c r="I20" s="323" t="str">
        <f t="shared" si="3"/>
        <v/>
      </c>
    </row>
    <row r="21" spans="1:9" ht="15.6" x14ac:dyDescent="0.3">
      <c r="A21" s="350"/>
      <c r="B21" s="349"/>
      <c r="C21" s="351"/>
      <c r="D21" s="521"/>
      <c r="E21" s="321"/>
      <c r="F21" s="322"/>
      <c r="G21" s="322"/>
      <c r="H21" s="322"/>
      <c r="I21" s="323"/>
    </row>
    <row r="22" spans="1:9" ht="16.2" thickBot="1" x14ac:dyDescent="0.35">
      <c r="A22" s="342"/>
      <c r="B22" s="343" t="s">
        <v>31</v>
      </c>
      <c r="C22" s="344">
        <f>ROUND(SUM(F22:I22),0)</f>
        <v>3336</v>
      </c>
      <c r="D22" s="522" t="str">
        <f>+C11</f>
        <v>m</v>
      </c>
      <c r="E22" s="345"/>
      <c r="F22" s="346">
        <f>SUM(F15:F21)</f>
        <v>2327.6864</v>
      </c>
      <c r="G22" s="346">
        <f>SUM(G15:G21)</f>
        <v>376</v>
      </c>
      <c r="H22" s="346">
        <f>SUM(H15:H21)</f>
        <v>631.90800000000002</v>
      </c>
      <c r="I22" s="352">
        <f>SUM(I15:I21)</f>
        <v>0</v>
      </c>
    </row>
    <row r="23" spans="1:9" ht="15.6" thickTop="1" thickBot="1" x14ac:dyDescent="0.35">
      <c r="A23" s="397"/>
      <c r="B23" s="397"/>
      <c r="C23" s="397"/>
      <c r="D23" s="517"/>
      <c r="E23" s="398"/>
      <c r="F23" s="397"/>
      <c r="G23" s="397"/>
      <c r="H23" s="397"/>
      <c r="I23" s="397"/>
    </row>
    <row r="24" spans="1:9" ht="16.2" thickTop="1" x14ac:dyDescent="0.3">
      <c r="A24" s="941" t="s">
        <v>35</v>
      </c>
      <c r="B24" s="942"/>
      <c r="C24" s="958" t="s">
        <v>214</v>
      </c>
      <c r="D24" s="959"/>
      <c r="E24" s="959"/>
      <c r="F24" s="959"/>
      <c r="G24" s="959"/>
      <c r="H24" s="959"/>
      <c r="I24" s="960"/>
    </row>
    <row r="25" spans="1:9" ht="15.6" x14ac:dyDescent="0.3">
      <c r="A25" s="946" t="s">
        <v>12</v>
      </c>
      <c r="B25" s="947"/>
      <c r="C25" s="961" t="s">
        <v>306</v>
      </c>
      <c r="D25" s="962"/>
      <c r="E25" s="962"/>
      <c r="F25" s="962"/>
      <c r="G25" s="962"/>
      <c r="H25" s="962"/>
      <c r="I25" s="963"/>
    </row>
    <row r="26" spans="1:9" ht="15.6" x14ac:dyDescent="0.3">
      <c r="A26" s="946" t="s">
        <v>13</v>
      </c>
      <c r="B26" s="947"/>
      <c r="C26" s="948" t="s">
        <v>204</v>
      </c>
      <c r="D26" s="949"/>
      <c r="E26" s="949"/>
      <c r="F26" s="949"/>
      <c r="G26" s="949"/>
      <c r="H26" s="949"/>
      <c r="I26" s="950"/>
    </row>
    <row r="27" spans="1:9" ht="15.6" x14ac:dyDescent="0.3">
      <c r="A27" s="863" t="s">
        <v>14</v>
      </c>
      <c r="B27" s="864" t="s">
        <v>15</v>
      </c>
      <c r="C27" s="864" t="s">
        <v>16</v>
      </c>
      <c r="D27" s="866" t="s">
        <v>17</v>
      </c>
      <c r="E27" s="868" t="s">
        <v>18</v>
      </c>
      <c r="F27" s="955" t="s">
        <v>19</v>
      </c>
      <c r="G27" s="956"/>
      <c r="H27" s="956"/>
      <c r="I27" s="957"/>
    </row>
    <row r="28" spans="1:9" ht="31.8" thickBot="1" x14ac:dyDescent="0.35">
      <c r="A28" s="951"/>
      <c r="B28" s="952"/>
      <c r="C28" s="952"/>
      <c r="D28" s="953"/>
      <c r="E28" s="954"/>
      <c r="F28" s="480" t="s">
        <v>20</v>
      </c>
      <c r="G28" s="480" t="s">
        <v>21</v>
      </c>
      <c r="H28" s="480" t="s">
        <v>22</v>
      </c>
      <c r="I28" s="14" t="s">
        <v>23</v>
      </c>
    </row>
    <row r="29" spans="1:9" ht="16.8" thickTop="1" thickBot="1" x14ac:dyDescent="0.35">
      <c r="A29" s="9"/>
      <c r="B29" s="9"/>
      <c r="C29" s="9"/>
      <c r="D29" s="513"/>
      <c r="E29" s="10"/>
      <c r="F29" s="9"/>
      <c r="G29" s="9"/>
      <c r="H29" s="9"/>
      <c r="I29" s="9"/>
    </row>
    <row r="30" spans="1:9" ht="16.2" thickTop="1" x14ac:dyDescent="0.3">
      <c r="A30" s="19" t="s">
        <v>24</v>
      </c>
      <c r="B30" s="13" t="s">
        <v>211</v>
      </c>
      <c r="C30" s="16" t="s">
        <v>36</v>
      </c>
      <c r="D30" s="515">
        <v>4.0000000000000001E-3</v>
      </c>
      <c r="E30" s="53">
        <f>+'M.O 2020'!B17</f>
        <v>447632</v>
      </c>
      <c r="F30" s="21">
        <f t="shared" ref="F30:F34" si="4">IF(A30="MO",D30*E30,"")</f>
        <v>1790.528</v>
      </c>
      <c r="G30" s="21" t="str">
        <f t="shared" ref="G30:G34" si="5">IF(A30="MA",D30*E30,"")</f>
        <v/>
      </c>
      <c r="H30" s="21" t="str">
        <f t="shared" ref="H30:H34" si="6">IF(A30="HE",D30*E30,"")</f>
        <v/>
      </c>
      <c r="I30" s="22" t="str">
        <f t="shared" ref="I30:I34" si="7">IF(A30="OT",D30*E30,"")</f>
        <v/>
      </c>
    </row>
    <row r="31" spans="1:9" ht="15.6" x14ac:dyDescent="0.3">
      <c r="A31" s="19" t="s">
        <v>29</v>
      </c>
      <c r="B31" s="13" t="s">
        <v>212</v>
      </c>
      <c r="C31" s="16" t="s">
        <v>210</v>
      </c>
      <c r="D31" s="515">
        <v>4.0000000000000001E-3</v>
      </c>
      <c r="E31" s="53">
        <v>104000</v>
      </c>
      <c r="F31" s="21" t="str">
        <f t="shared" si="4"/>
        <v/>
      </c>
      <c r="G31" s="21" t="str">
        <f t="shared" si="5"/>
        <v/>
      </c>
      <c r="H31" s="21">
        <f t="shared" si="6"/>
        <v>416</v>
      </c>
      <c r="I31" s="22" t="str">
        <f t="shared" si="7"/>
        <v/>
      </c>
    </row>
    <row r="32" spans="1:9" ht="15.6" x14ac:dyDescent="0.3">
      <c r="A32" s="19" t="s">
        <v>32</v>
      </c>
      <c r="B32" s="13" t="s">
        <v>114</v>
      </c>
      <c r="C32" s="16" t="s">
        <v>205</v>
      </c>
      <c r="D32" s="515">
        <v>0.13</v>
      </c>
      <c r="E32" s="53">
        <v>4150</v>
      </c>
      <c r="F32" s="21" t="str">
        <f t="shared" si="4"/>
        <v/>
      </c>
      <c r="G32" s="21">
        <f t="shared" si="5"/>
        <v>539.5</v>
      </c>
      <c r="H32" s="21" t="str">
        <f t="shared" si="6"/>
        <v/>
      </c>
      <c r="I32" s="22" t="str">
        <f t="shared" si="7"/>
        <v/>
      </c>
    </row>
    <row r="33" spans="1:9" ht="15.6" x14ac:dyDescent="0.3">
      <c r="A33" s="15" t="s">
        <v>29</v>
      </c>
      <c r="B33" s="11" t="s">
        <v>115</v>
      </c>
      <c r="C33" s="16" t="s">
        <v>208</v>
      </c>
      <c r="D33" s="514">
        <v>0.05</v>
      </c>
      <c r="E33" s="53">
        <f>+F30</f>
        <v>1790.528</v>
      </c>
      <c r="F33" s="21" t="str">
        <f t="shared" si="4"/>
        <v/>
      </c>
      <c r="G33" s="21" t="str">
        <f t="shared" si="5"/>
        <v/>
      </c>
      <c r="H33" s="21">
        <f t="shared" si="6"/>
        <v>89.52640000000001</v>
      </c>
      <c r="I33" s="22" t="str">
        <f t="shared" si="7"/>
        <v/>
      </c>
    </row>
    <row r="34" spans="1:9" ht="15.6" x14ac:dyDescent="0.3">
      <c r="A34" s="19" t="s">
        <v>32</v>
      </c>
      <c r="B34" s="13" t="s">
        <v>213</v>
      </c>
      <c r="C34" s="16" t="s">
        <v>205</v>
      </c>
      <c r="D34" s="515">
        <v>0.06</v>
      </c>
      <c r="E34" s="53">
        <v>2850</v>
      </c>
      <c r="F34" s="21" t="str">
        <f t="shared" si="4"/>
        <v/>
      </c>
      <c r="G34" s="21">
        <f t="shared" si="5"/>
        <v>171</v>
      </c>
      <c r="H34" s="21" t="str">
        <f t="shared" si="6"/>
        <v/>
      </c>
      <c r="I34" s="22" t="str">
        <f t="shared" si="7"/>
        <v/>
      </c>
    </row>
    <row r="35" spans="1:9" ht="15.6" x14ac:dyDescent="0.3">
      <c r="A35" s="19"/>
      <c r="B35" s="488"/>
      <c r="C35" s="12"/>
      <c r="D35" s="523"/>
      <c r="E35" s="20"/>
      <c r="F35" s="21" t="str">
        <f t="shared" ref="F35" si="8">IF(A35="MO",D35*E35,"")</f>
        <v/>
      </c>
      <c r="G35" s="21" t="str">
        <f t="shared" ref="G35" si="9">IF(A35="MA",D35*E35,"")</f>
        <v/>
      </c>
      <c r="H35" s="21" t="str">
        <f t="shared" ref="H35" si="10">IF(A35="HE",D35*E35,"")</f>
        <v/>
      </c>
      <c r="I35" s="22" t="str">
        <f t="shared" ref="I35" si="11">IF(A35="OT",D35*E35,"")</f>
        <v/>
      </c>
    </row>
    <row r="36" spans="1:9" ht="16.2" thickBot="1" x14ac:dyDescent="0.35">
      <c r="A36" s="23"/>
      <c r="B36" s="24" t="s">
        <v>31</v>
      </c>
      <c r="C36" s="25">
        <f>ROUND(SUM(F36:I36),0)</f>
        <v>3007</v>
      </c>
      <c r="D36" s="516" t="str">
        <f>+C26</f>
        <v>m2</v>
      </c>
      <c r="E36" s="26"/>
      <c r="F36" s="27">
        <f>SUM(F30:F35)</f>
        <v>1790.528</v>
      </c>
      <c r="G36" s="27">
        <f>SUM(G30:G35)</f>
        <v>710.5</v>
      </c>
      <c r="H36" s="27">
        <f>SUM(H30:H35)</f>
        <v>505.52640000000002</v>
      </c>
      <c r="I36" s="28">
        <f>SUM(I30:I35)</f>
        <v>0</v>
      </c>
    </row>
    <row r="37" spans="1:9" ht="15.6" thickTop="1" thickBot="1" x14ac:dyDescent="0.35"/>
    <row r="38" spans="1:9" ht="16.2" thickTop="1" x14ac:dyDescent="0.3">
      <c r="A38" s="854" t="s">
        <v>35</v>
      </c>
      <c r="B38" s="855"/>
      <c r="C38" s="958" t="s">
        <v>313</v>
      </c>
      <c r="D38" s="959"/>
      <c r="E38" s="959"/>
      <c r="F38" s="959"/>
      <c r="G38" s="959"/>
      <c r="H38" s="959"/>
      <c r="I38" s="960"/>
    </row>
    <row r="39" spans="1:9" ht="15.75" customHeight="1" x14ac:dyDescent="0.3">
      <c r="A39" s="858" t="s">
        <v>12</v>
      </c>
      <c r="B39" s="859"/>
      <c r="C39" s="948" t="s">
        <v>307</v>
      </c>
      <c r="D39" s="949"/>
      <c r="E39" s="949"/>
      <c r="F39" s="949"/>
      <c r="G39" s="949"/>
      <c r="H39" s="949"/>
      <c r="I39" s="950"/>
    </row>
    <row r="40" spans="1:9" ht="15.6" x14ac:dyDescent="0.3">
      <c r="A40" s="858" t="s">
        <v>13</v>
      </c>
      <c r="B40" s="859"/>
      <c r="C40" s="948" t="s">
        <v>5</v>
      </c>
      <c r="D40" s="949"/>
      <c r="E40" s="949"/>
      <c r="F40" s="949"/>
      <c r="G40" s="949"/>
      <c r="H40" s="949"/>
      <c r="I40" s="950"/>
    </row>
    <row r="41" spans="1:9" ht="15.75" customHeight="1" x14ac:dyDescent="0.3">
      <c r="A41" s="862" t="s">
        <v>14</v>
      </c>
      <c r="B41" s="848" t="s">
        <v>15</v>
      </c>
      <c r="C41" s="864" t="s">
        <v>16</v>
      </c>
      <c r="D41" s="866" t="s">
        <v>17</v>
      </c>
      <c r="E41" s="868" t="s">
        <v>18</v>
      </c>
      <c r="F41" s="955" t="s">
        <v>19</v>
      </c>
      <c r="G41" s="956"/>
      <c r="H41" s="956"/>
      <c r="I41" s="957"/>
    </row>
    <row r="42" spans="1:9" ht="31.8" thickBot="1" x14ac:dyDescent="0.35">
      <c r="A42" s="863"/>
      <c r="B42" s="864"/>
      <c r="C42" s="952"/>
      <c r="D42" s="953"/>
      <c r="E42" s="954"/>
      <c r="F42" s="480" t="s">
        <v>20</v>
      </c>
      <c r="G42" s="480" t="s">
        <v>21</v>
      </c>
      <c r="H42" s="480" t="s">
        <v>22</v>
      </c>
      <c r="I42" s="14" t="s">
        <v>23</v>
      </c>
    </row>
    <row r="43" spans="1:9" ht="16.8" thickTop="1" thickBot="1" x14ac:dyDescent="0.35">
      <c r="A43" s="9"/>
      <c r="B43" s="9"/>
      <c r="C43" s="9"/>
      <c r="D43" s="513"/>
      <c r="E43" s="10"/>
      <c r="F43" s="9"/>
      <c r="G43" s="9"/>
      <c r="H43" s="9"/>
      <c r="I43" s="9"/>
    </row>
    <row r="44" spans="1:9" ht="15.75" customHeight="1" thickTop="1" x14ac:dyDescent="0.3">
      <c r="A44" s="292" t="s">
        <v>32</v>
      </c>
      <c r="B44" s="488" t="s">
        <v>218</v>
      </c>
      <c r="C44" s="291" t="s">
        <v>308</v>
      </c>
      <c r="D44" s="523">
        <v>0.9</v>
      </c>
      <c r="E44" s="20">
        <f>+'M.O 2020'!C6</f>
        <v>22818</v>
      </c>
      <c r="F44" s="21" t="str">
        <f>IF(A44="MO",D44*E44,"")</f>
        <v/>
      </c>
      <c r="G44" s="21">
        <f>IF(A44="MA",D44*E44,"")</f>
        <v>20536.2</v>
      </c>
      <c r="H44" s="21" t="str">
        <f>IF(A44="HE",D44*E44,"")</f>
        <v/>
      </c>
      <c r="I44" s="22" t="str">
        <f>IF(A44="OT",D44*E44,"")</f>
        <v/>
      </c>
    </row>
    <row r="45" spans="1:9" ht="15.75" customHeight="1" x14ac:dyDescent="0.3">
      <c r="A45" s="292" t="s">
        <v>32</v>
      </c>
      <c r="B45" s="488" t="s">
        <v>115</v>
      </c>
      <c r="C45" s="291" t="s">
        <v>112</v>
      </c>
      <c r="D45" s="524">
        <v>0.05</v>
      </c>
      <c r="E45" s="20">
        <f>+G44</f>
        <v>20536.2</v>
      </c>
      <c r="F45" s="21" t="str">
        <f t="shared" ref="F45:F48" si="12">IF(A45="MO",D45*E45,"")</f>
        <v/>
      </c>
      <c r="G45" s="21">
        <f t="shared" ref="G45:G48" si="13">IF(A45="MA",D45*E45,"")</f>
        <v>1026.8100000000002</v>
      </c>
      <c r="H45" s="21" t="str">
        <f t="shared" ref="H45:H48" si="14">IF(A45="HE",D45*E45,"")</f>
        <v/>
      </c>
      <c r="I45" s="22" t="str">
        <f t="shared" ref="I45:I48" si="15">IF(A45="OT",D45*E45,"")</f>
        <v/>
      </c>
    </row>
    <row r="46" spans="1:9" ht="15.75" customHeight="1" x14ac:dyDescent="0.3">
      <c r="A46" s="80" t="s">
        <v>32</v>
      </c>
      <c r="B46" s="488" t="s">
        <v>309</v>
      </c>
      <c r="C46" s="291" t="s">
        <v>283</v>
      </c>
      <c r="D46" s="523">
        <v>1.8</v>
      </c>
      <c r="E46" s="20">
        <v>400</v>
      </c>
      <c r="F46" s="21" t="str">
        <f t="shared" si="12"/>
        <v/>
      </c>
      <c r="G46" s="21">
        <f t="shared" si="13"/>
        <v>720</v>
      </c>
      <c r="H46" s="21" t="str">
        <f t="shared" si="14"/>
        <v/>
      </c>
      <c r="I46" s="22" t="str">
        <f t="shared" si="15"/>
        <v/>
      </c>
    </row>
    <row r="47" spans="1:9" ht="15.6" x14ac:dyDescent="0.3">
      <c r="A47" s="80" t="s">
        <v>32</v>
      </c>
      <c r="B47" s="488" t="s">
        <v>310</v>
      </c>
      <c r="C47" s="291" t="s">
        <v>112</v>
      </c>
      <c r="D47" s="524">
        <v>0.1</v>
      </c>
      <c r="E47" s="20">
        <f>+G44</f>
        <v>20536.2</v>
      </c>
      <c r="F47" s="21" t="str">
        <f t="shared" si="12"/>
        <v/>
      </c>
      <c r="G47" s="21">
        <f t="shared" si="13"/>
        <v>2053.6200000000003</v>
      </c>
      <c r="H47" s="21" t="str">
        <f t="shared" si="14"/>
        <v/>
      </c>
      <c r="I47" s="22" t="str">
        <f t="shared" si="15"/>
        <v/>
      </c>
    </row>
    <row r="48" spans="1:9" ht="15.6" x14ac:dyDescent="0.3">
      <c r="A48" s="80" t="s">
        <v>32</v>
      </c>
      <c r="B48" s="488" t="s">
        <v>311</v>
      </c>
      <c r="C48" s="291" t="s">
        <v>112</v>
      </c>
      <c r="D48" s="524">
        <v>0.7</v>
      </c>
      <c r="E48" s="20">
        <f>+G44</f>
        <v>20536.2</v>
      </c>
      <c r="F48" s="21" t="str">
        <f t="shared" si="12"/>
        <v/>
      </c>
      <c r="G48" s="21">
        <f t="shared" si="13"/>
        <v>14375.34</v>
      </c>
      <c r="H48" s="21" t="str">
        <f t="shared" si="14"/>
        <v/>
      </c>
      <c r="I48" s="22" t="str">
        <f t="shared" si="15"/>
        <v/>
      </c>
    </row>
    <row r="49" spans="1:9" ht="16.2" x14ac:dyDescent="0.3">
      <c r="A49" s="292" t="s">
        <v>24</v>
      </c>
      <c r="B49" s="488" t="s">
        <v>834</v>
      </c>
      <c r="C49" s="291" t="s">
        <v>200</v>
      </c>
      <c r="D49" s="523">
        <v>0.05</v>
      </c>
      <c r="E49" s="20">
        <v>82960</v>
      </c>
      <c r="F49" s="21">
        <f>IF(A49="MO",D49*E49,"")</f>
        <v>4148</v>
      </c>
      <c r="G49" s="21" t="str">
        <f>IF(A49="MA",D49*E49,"")</f>
        <v/>
      </c>
      <c r="H49" s="21" t="str">
        <f>IF(A49="HE",D49*E49,"")</f>
        <v/>
      </c>
      <c r="I49" s="22" t="str">
        <f>IF(A49="OT",D49*E49,"")</f>
        <v/>
      </c>
    </row>
    <row r="50" spans="1:9" ht="33.75" customHeight="1" x14ac:dyDescent="0.3">
      <c r="A50" s="19"/>
      <c r="B50" s="13"/>
      <c r="C50" s="12"/>
      <c r="D50" s="523"/>
      <c r="E50" s="20"/>
      <c r="F50" s="21" t="str">
        <f>IF(A50="MO",D50*E50,"")</f>
        <v/>
      </c>
      <c r="G50" s="21" t="str">
        <f>IF(A50="MA",D50*E50,"")</f>
        <v/>
      </c>
      <c r="H50" s="21" t="str">
        <f>IF(A50="HE",D50*E50,"")</f>
        <v/>
      </c>
      <c r="I50" s="22" t="str">
        <f>IF(A50="OT",D50*E50,"")</f>
        <v/>
      </c>
    </row>
    <row r="51" spans="1:9" ht="16.2" thickBot="1" x14ac:dyDescent="0.35">
      <c r="A51" s="23"/>
      <c r="B51" s="24" t="s">
        <v>31</v>
      </c>
      <c r="C51" s="25">
        <f>ROUND(SUM(F51:I51),0)</f>
        <v>42860</v>
      </c>
      <c r="D51" s="516" t="str">
        <f>+C40</f>
        <v>m</v>
      </c>
      <c r="E51" s="26"/>
      <c r="F51" s="27">
        <f>SUM(F44:F50)</f>
        <v>4148</v>
      </c>
      <c r="G51" s="27">
        <f>SUM(G44:G50)</f>
        <v>38711.97</v>
      </c>
      <c r="H51" s="27">
        <f>SUM(H44:H50)</f>
        <v>0</v>
      </c>
      <c r="I51" s="293">
        <f>SUM(I44:I50)</f>
        <v>0</v>
      </c>
    </row>
    <row r="52" spans="1:9" ht="16.8" thickTop="1" thickBot="1" x14ac:dyDescent="0.35">
      <c r="A52" s="236"/>
      <c r="B52" s="237"/>
      <c r="C52" s="237"/>
      <c r="D52" s="525"/>
      <c r="E52" s="238"/>
      <c r="F52" s="237"/>
      <c r="G52" s="237"/>
      <c r="H52" s="237"/>
      <c r="I52" s="237"/>
    </row>
    <row r="53" spans="1:9" ht="15.75" customHeight="1" thickTop="1" x14ac:dyDescent="0.3">
      <c r="A53" s="854" t="s">
        <v>35</v>
      </c>
      <c r="B53" s="855"/>
      <c r="C53" s="958" t="s">
        <v>312</v>
      </c>
      <c r="D53" s="959"/>
      <c r="E53" s="959"/>
      <c r="F53" s="959"/>
      <c r="G53" s="959"/>
      <c r="H53" s="959"/>
      <c r="I53" s="960"/>
    </row>
    <row r="54" spans="1:9" ht="33.75" customHeight="1" x14ac:dyDescent="0.3">
      <c r="A54" s="858" t="s">
        <v>12</v>
      </c>
      <c r="B54" s="859"/>
      <c r="C54" s="948" t="s">
        <v>418</v>
      </c>
      <c r="D54" s="949"/>
      <c r="E54" s="949"/>
      <c r="F54" s="949"/>
      <c r="G54" s="949"/>
      <c r="H54" s="949"/>
      <c r="I54" s="950"/>
    </row>
    <row r="55" spans="1:9" ht="15.6" x14ac:dyDescent="0.3">
      <c r="A55" s="858" t="s">
        <v>13</v>
      </c>
      <c r="B55" s="859"/>
      <c r="C55" s="948" t="s">
        <v>4</v>
      </c>
      <c r="D55" s="949"/>
      <c r="E55" s="949"/>
      <c r="F55" s="949"/>
      <c r="G55" s="949"/>
      <c r="H55" s="949"/>
      <c r="I55" s="950"/>
    </row>
    <row r="56" spans="1:9" ht="15.6" x14ac:dyDescent="0.3">
      <c r="A56" s="862" t="s">
        <v>14</v>
      </c>
      <c r="B56" s="848" t="s">
        <v>15</v>
      </c>
      <c r="C56" s="864" t="s">
        <v>16</v>
      </c>
      <c r="D56" s="866" t="s">
        <v>17</v>
      </c>
      <c r="E56" s="868" t="s">
        <v>18</v>
      </c>
      <c r="F56" s="955" t="s">
        <v>19</v>
      </c>
      <c r="G56" s="956"/>
      <c r="H56" s="956"/>
      <c r="I56" s="957"/>
    </row>
    <row r="57" spans="1:9" ht="31.8" thickBot="1" x14ac:dyDescent="0.35">
      <c r="A57" s="863"/>
      <c r="B57" s="864"/>
      <c r="C57" s="952"/>
      <c r="D57" s="953"/>
      <c r="E57" s="954"/>
      <c r="F57" s="480" t="s">
        <v>20</v>
      </c>
      <c r="G57" s="480" t="s">
        <v>21</v>
      </c>
      <c r="H57" s="480" t="s">
        <v>22</v>
      </c>
      <c r="I57" s="14" t="s">
        <v>23</v>
      </c>
    </row>
    <row r="58" spans="1:9" ht="16.8" thickTop="1" thickBot="1" x14ac:dyDescent="0.35">
      <c r="A58" s="99"/>
      <c r="B58" s="99"/>
      <c r="C58" s="99"/>
      <c r="D58" s="526"/>
      <c r="E58" s="100"/>
      <c r="F58" s="99"/>
      <c r="G58" s="99"/>
      <c r="H58" s="99"/>
      <c r="I58" s="99"/>
    </row>
    <row r="59" spans="1:9" ht="15.75" customHeight="1" thickTop="1" x14ac:dyDescent="0.3">
      <c r="A59" s="318" t="s">
        <v>24</v>
      </c>
      <c r="B59" s="319" t="s">
        <v>218</v>
      </c>
      <c r="C59" s="320" t="s">
        <v>308</v>
      </c>
      <c r="D59" s="412">
        <f>0.9/5</f>
        <v>0.18</v>
      </c>
      <c r="E59" s="321">
        <f>+'M.O 2020'!C6</f>
        <v>22818</v>
      </c>
      <c r="F59" s="322">
        <f>IF(A59="MO",D59*E59,"")</f>
        <v>4107.24</v>
      </c>
      <c r="G59" s="322" t="str">
        <f>IF(A59="MA",D59*E59,"")</f>
        <v/>
      </c>
      <c r="H59" s="322" t="str">
        <f>IF(A59="HE",D59*E59,"")</f>
        <v/>
      </c>
      <c r="I59" s="323" t="str">
        <f>IF(A59="OT",D59*E59,"")</f>
        <v/>
      </c>
    </row>
    <row r="60" spans="1:9" ht="15.75" customHeight="1" x14ac:dyDescent="0.3">
      <c r="A60" s="318" t="s">
        <v>32</v>
      </c>
      <c r="B60" s="319" t="s">
        <v>115</v>
      </c>
      <c r="C60" s="320" t="s">
        <v>112</v>
      </c>
      <c r="D60" s="527">
        <f>5%/5</f>
        <v>0.01</v>
      </c>
      <c r="E60" s="321">
        <f>+F59</f>
        <v>4107.24</v>
      </c>
      <c r="F60" s="322" t="str">
        <f t="shared" ref="F60:F63" si="16">IF(A60="MO",D60*E60,"")</f>
        <v/>
      </c>
      <c r="G60" s="322">
        <f t="shared" ref="G60:G63" si="17">IF(A60="MA",D60*E60,"")</f>
        <v>41.072400000000002</v>
      </c>
      <c r="H60" s="322" t="str">
        <f t="shared" ref="H60:H63" si="18">IF(A60="HE",D60*E60,"")</f>
        <v/>
      </c>
      <c r="I60" s="323" t="str">
        <f t="shared" ref="I60:I63" si="19">IF(A60="OT",D60*E60,"")</f>
        <v/>
      </c>
    </row>
    <row r="61" spans="1:9" ht="15.75" customHeight="1" x14ac:dyDescent="0.3">
      <c r="A61" s="355" t="s">
        <v>32</v>
      </c>
      <c r="B61" s="319" t="s">
        <v>309</v>
      </c>
      <c r="C61" s="320" t="s">
        <v>283</v>
      </c>
      <c r="D61" s="412">
        <f>1.8/5</f>
        <v>0.36</v>
      </c>
      <c r="E61" s="321">
        <v>400</v>
      </c>
      <c r="F61" s="322" t="str">
        <f t="shared" si="16"/>
        <v/>
      </c>
      <c r="G61" s="322">
        <f t="shared" si="17"/>
        <v>144</v>
      </c>
      <c r="H61" s="322" t="str">
        <f t="shared" si="18"/>
        <v/>
      </c>
      <c r="I61" s="323" t="str">
        <f t="shared" si="19"/>
        <v/>
      </c>
    </row>
    <row r="62" spans="1:9" ht="15.75" customHeight="1" x14ac:dyDescent="0.3">
      <c r="A62" s="355" t="s">
        <v>32</v>
      </c>
      <c r="B62" s="319" t="s">
        <v>310</v>
      </c>
      <c r="C62" s="320" t="s">
        <v>112</v>
      </c>
      <c r="D62" s="527">
        <f>10%/5</f>
        <v>0.02</v>
      </c>
      <c r="E62" s="321">
        <f>+F59</f>
        <v>4107.24</v>
      </c>
      <c r="F62" s="322" t="str">
        <f t="shared" si="16"/>
        <v/>
      </c>
      <c r="G62" s="322">
        <f t="shared" si="17"/>
        <v>82.144800000000004</v>
      </c>
      <c r="H62" s="322" t="str">
        <f t="shared" si="18"/>
        <v/>
      </c>
      <c r="I62" s="323" t="str">
        <f t="shared" si="19"/>
        <v/>
      </c>
    </row>
    <row r="63" spans="1:9" ht="15.75" customHeight="1" x14ac:dyDescent="0.3">
      <c r="A63" s="355" t="s">
        <v>32</v>
      </c>
      <c r="B63" s="319" t="s">
        <v>311</v>
      </c>
      <c r="C63" s="320" t="s">
        <v>112</v>
      </c>
      <c r="D63" s="527">
        <f>70%/5</f>
        <v>0.13999999999999999</v>
      </c>
      <c r="E63" s="321">
        <f>+F59</f>
        <v>4107.24</v>
      </c>
      <c r="F63" s="322" t="str">
        <f t="shared" si="16"/>
        <v/>
      </c>
      <c r="G63" s="322">
        <f t="shared" si="17"/>
        <v>575.01359999999988</v>
      </c>
      <c r="H63" s="322" t="str">
        <f t="shared" si="18"/>
        <v/>
      </c>
      <c r="I63" s="323" t="str">
        <f t="shared" si="19"/>
        <v/>
      </c>
    </row>
    <row r="64" spans="1:9" ht="15.75" customHeight="1" x14ac:dyDescent="0.3">
      <c r="A64" s="318" t="s">
        <v>29</v>
      </c>
      <c r="B64" s="319" t="s">
        <v>866</v>
      </c>
      <c r="C64" s="320" t="s">
        <v>200</v>
      </c>
      <c r="D64" s="412">
        <v>0.02</v>
      </c>
      <c r="E64" s="321">
        <v>75000</v>
      </c>
      <c r="F64" s="322" t="str">
        <f>IF(A64="MO",D64*E64,"")</f>
        <v/>
      </c>
      <c r="G64" s="322" t="str">
        <f>IF(A64="MA",D64*E64,"")</f>
        <v/>
      </c>
      <c r="H64" s="322">
        <f>IF(A64="HE",D64*E64,"")</f>
        <v>1500</v>
      </c>
      <c r="I64" s="323" t="str">
        <f>IF(A64="OT",D64*E64,"")</f>
        <v/>
      </c>
    </row>
    <row r="65" spans="1:9" ht="15.6" x14ac:dyDescent="0.3">
      <c r="A65" s="350"/>
      <c r="B65" s="349"/>
      <c r="C65" s="351"/>
      <c r="D65" s="412"/>
      <c r="E65" s="321"/>
      <c r="F65" s="322" t="str">
        <f>IF(A65="MO",D65*E65,"")</f>
        <v/>
      </c>
      <c r="G65" s="322" t="str">
        <f>IF(A65="MA",D65*E65,"")</f>
        <v/>
      </c>
      <c r="H65" s="322" t="str">
        <f>IF(A65="HE",D65*E65,"")</f>
        <v/>
      </c>
      <c r="I65" s="323" t="str">
        <f>IF(A65="OT",D65*E65,"")</f>
        <v/>
      </c>
    </row>
    <row r="66" spans="1:9" ht="16.2" thickBot="1" x14ac:dyDescent="0.35">
      <c r="A66" s="342"/>
      <c r="B66" s="343" t="s">
        <v>31</v>
      </c>
      <c r="C66" s="344">
        <f>ROUND(SUM(F66:I66),0)</f>
        <v>6449</v>
      </c>
      <c r="D66" s="522" t="str">
        <f>+C55</f>
        <v>m2</v>
      </c>
      <c r="E66" s="345"/>
      <c r="F66" s="346">
        <f>SUM(F59:F65)</f>
        <v>4107.24</v>
      </c>
      <c r="G66" s="346">
        <f>SUM(G59:G65)</f>
        <v>842.23079999999993</v>
      </c>
      <c r="H66" s="346">
        <f>SUM(H59:H65)</f>
        <v>1500</v>
      </c>
      <c r="I66" s="393">
        <f>SUM(I59:I65)</f>
        <v>0</v>
      </c>
    </row>
    <row r="67" spans="1:9" ht="15.6" thickTop="1" thickBot="1" x14ac:dyDescent="0.35">
      <c r="A67" s="295"/>
      <c r="B67" s="295"/>
      <c r="C67" s="295"/>
      <c r="D67" s="528"/>
      <c r="E67" s="369"/>
      <c r="F67" s="295"/>
      <c r="G67" s="295"/>
      <c r="H67" s="295"/>
      <c r="I67" s="295"/>
    </row>
    <row r="68" spans="1:9" ht="16.2" thickTop="1" x14ac:dyDescent="0.3">
      <c r="A68" s="854" t="s">
        <v>35</v>
      </c>
      <c r="B68" s="855"/>
      <c r="C68" s="943" t="s">
        <v>116</v>
      </c>
      <c r="D68" s="944"/>
      <c r="E68" s="944"/>
      <c r="F68" s="944"/>
      <c r="G68" s="944"/>
      <c r="H68" s="944"/>
      <c r="I68" s="945"/>
    </row>
    <row r="69" spans="1:9" ht="36.75" customHeight="1" x14ac:dyDescent="0.3">
      <c r="A69" s="946" t="s">
        <v>12</v>
      </c>
      <c r="B69" s="947"/>
      <c r="C69" s="948" t="s">
        <v>424</v>
      </c>
      <c r="D69" s="949"/>
      <c r="E69" s="949"/>
      <c r="F69" s="949"/>
      <c r="G69" s="949"/>
      <c r="H69" s="949"/>
      <c r="I69" s="950"/>
    </row>
    <row r="70" spans="1:9" ht="15.6" x14ac:dyDescent="0.3">
      <c r="A70" s="858" t="s">
        <v>13</v>
      </c>
      <c r="B70" s="859"/>
      <c r="C70" s="948" t="s">
        <v>5</v>
      </c>
      <c r="D70" s="949"/>
      <c r="E70" s="949"/>
      <c r="F70" s="949"/>
      <c r="G70" s="949"/>
      <c r="H70" s="949"/>
      <c r="I70" s="950"/>
    </row>
    <row r="71" spans="1:9" ht="15.6" customHeight="1" x14ac:dyDescent="0.3">
      <c r="A71" s="862" t="s">
        <v>14</v>
      </c>
      <c r="B71" s="848" t="s">
        <v>15</v>
      </c>
      <c r="C71" s="864" t="s">
        <v>16</v>
      </c>
      <c r="D71" s="866" t="s">
        <v>17</v>
      </c>
      <c r="E71" s="868" t="s">
        <v>18</v>
      </c>
      <c r="F71" s="955" t="s">
        <v>19</v>
      </c>
      <c r="G71" s="956"/>
      <c r="H71" s="956"/>
      <c r="I71" s="957"/>
    </row>
    <row r="72" spans="1:9" ht="31.8" thickBot="1" x14ac:dyDescent="0.35">
      <c r="A72" s="863"/>
      <c r="B72" s="864"/>
      <c r="C72" s="952"/>
      <c r="D72" s="953"/>
      <c r="E72" s="954"/>
      <c r="F72" s="480" t="s">
        <v>20</v>
      </c>
      <c r="G72" s="480" t="s">
        <v>21</v>
      </c>
      <c r="H72" s="480" t="s">
        <v>22</v>
      </c>
      <c r="I72" s="14" t="s">
        <v>23</v>
      </c>
    </row>
    <row r="73" spans="1:9" ht="15" customHeight="1" thickTop="1" thickBot="1" x14ac:dyDescent="0.35">
      <c r="A73" s="99"/>
      <c r="B73" s="99"/>
      <c r="C73" s="99"/>
      <c r="D73" s="526"/>
      <c r="E73" s="100"/>
      <c r="F73" s="99"/>
      <c r="G73" s="99"/>
      <c r="H73" s="99"/>
      <c r="I73" s="99"/>
    </row>
    <row r="74" spans="1:9" ht="16.2" thickTop="1" x14ac:dyDescent="0.3">
      <c r="A74" s="350" t="s">
        <v>32</v>
      </c>
      <c r="B74" s="349" t="s">
        <v>117</v>
      </c>
      <c r="C74" s="351" t="s">
        <v>7</v>
      </c>
      <c r="D74" s="412">
        <f>1*0.1*1</f>
        <v>0.1</v>
      </c>
      <c r="E74" s="321">
        <v>47000</v>
      </c>
      <c r="F74" s="322" t="str">
        <f t="shared" ref="F74:F81" si="20">IF(A74="MO",D74*E74,"")</f>
        <v/>
      </c>
      <c r="G74" s="322">
        <f t="shared" ref="G74:G81" si="21">IF(A74="MA",D74*E74,"")</f>
        <v>4700</v>
      </c>
      <c r="H74" s="322" t="str">
        <f t="shared" ref="H74:H81" si="22">IF(A74="HE",D74*E74,"")</f>
        <v/>
      </c>
      <c r="I74" s="323" t="str">
        <f t="shared" ref="I74:I81" si="23">IF(A74="OT",D74*E74,"")</f>
        <v/>
      </c>
    </row>
    <row r="75" spans="1:9" ht="15.6" x14ac:dyDescent="0.3">
      <c r="A75" s="375" t="s">
        <v>29</v>
      </c>
      <c r="B75" s="377" t="s">
        <v>304</v>
      </c>
      <c r="C75" s="383" t="s">
        <v>289</v>
      </c>
      <c r="D75" s="520">
        <f>+D74*1.8</f>
        <v>0.18000000000000002</v>
      </c>
      <c r="E75" s="321">
        <f>+$C$990</f>
        <v>8250.6174612024897</v>
      </c>
      <c r="F75" s="322" t="str">
        <f t="shared" si="20"/>
        <v/>
      </c>
      <c r="G75" s="322"/>
      <c r="H75" s="322">
        <f t="shared" si="22"/>
        <v>1485.1111430164483</v>
      </c>
      <c r="I75" s="323" t="str">
        <f>IF(A75="OT",D75*E75,"")</f>
        <v/>
      </c>
    </row>
    <row r="76" spans="1:9" ht="15.6" x14ac:dyDescent="0.3">
      <c r="A76" s="15" t="s">
        <v>24</v>
      </c>
      <c r="B76" s="11" t="s">
        <v>221</v>
      </c>
      <c r="C76" s="16" t="s">
        <v>25</v>
      </c>
      <c r="D76" s="515">
        <v>2.5000000000000001E-2</v>
      </c>
      <c r="E76" s="20">
        <f>+'M.O 2020'!B7</f>
        <v>243392</v>
      </c>
      <c r="F76" s="21">
        <f t="shared" si="20"/>
        <v>6084.8</v>
      </c>
      <c r="G76" s="21" t="str">
        <f t="shared" si="21"/>
        <v/>
      </c>
      <c r="H76" s="21" t="str">
        <f t="shared" si="22"/>
        <v/>
      </c>
      <c r="I76" s="22" t="str">
        <f t="shared" si="23"/>
        <v/>
      </c>
    </row>
    <row r="77" spans="1:9" ht="15.6" x14ac:dyDescent="0.3">
      <c r="A77" s="19" t="s">
        <v>29</v>
      </c>
      <c r="B77" s="13" t="s">
        <v>118</v>
      </c>
      <c r="C77" s="12" t="s">
        <v>86</v>
      </c>
      <c r="D77" s="523">
        <v>0.02</v>
      </c>
      <c r="E77" s="20">
        <v>39394</v>
      </c>
      <c r="F77" s="21" t="str">
        <f t="shared" si="20"/>
        <v/>
      </c>
      <c r="G77" s="21" t="str">
        <f t="shared" si="21"/>
        <v/>
      </c>
      <c r="H77" s="21">
        <f t="shared" si="22"/>
        <v>787.88</v>
      </c>
      <c r="I77" s="22" t="str">
        <f t="shared" si="23"/>
        <v/>
      </c>
    </row>
    <row r="78" spans="1:9" ht="15.6" x14ac:dyDescent="0.3">
      <c r="A78" s="19" t="s">
        <v>29</v>
      </c>
      <c r="B78" s="13" t="s">
        <v>30</v>
      </c>
      <c r="C78" s="12" t="s">
        <v>28</v>
      </c>
      <c r="D78" s="523">
        <v>0.05</v>
      </c>
      <c r="E78" s="20">
        <f>F76</f>
        <v>6084.8</v>
      </c>
      <c r="F78" s="21" t="str">
        <f t="shared" si="20"/>
        <v/>
      </c>
      <c r="G78" s="21" t="str">
        <f t="shared" si="21"/>
        <v/>
      </c>
      <c r="H78" s="21">
        <f t="shared" si="22"/>
        <v>304.24</v>
      </c>
      <c r="I78" s="22" t="str">
        <f t="shared" si="23"/>
        <v/>
      </c>
    </row>
    <row r="79" spans="1:9" ht="15.6" x14ac:dyDescent="0.3">
      <c r="A79" s="80" t="s">
        <v>32</v>
      </c>
      <c r="B79" s="81" t="s">
        <v>432</v>
      </c>
      <c r="C79" s="82" t="s">
        <v>5</v>
      </c>
      <c r="D79" s="529">
        <v>4</v>
      </c>
      <c r="E79" s="294">
        <f>+((27900+22900)/2)/6</f>
        <v>4233.333333333333</v>
      </c>
      <c r="F79" s="65" t="str">
        <f t="shared" si="20"/>
        <v/>
      </c>
      <c r="G79" s="83">
        <f t="shared" si="21"/>
        <v>16933.333333333332</v>
      </c>
      <c r="H79" s="83" t="str">
        <f t="shared" si="22"/>
        <v/>
      </c>
      <c r="I79" s="84" t="str">
        <f t="shared" si="23"/>
        <v/>
      </c>
    </row>
    <row r="80" spans="1:9" ht="15.6" x14ac:dyDescent="0.3">
      <c r="A80" s="19" t="s">
        <v>32</v>
      </c>
      <c r="B80" s="13" t="s">
        <v>98</v>
      </c>
      <c r="C80" s="12" t="s">
        <v>5</v>
      </c>
      <c r="D80" s="523">
        <v>2</v>
      </c>
      <c r="E80" s="20">
        <v>3266.6666666666665</v>
      </c>
      <c r="F80" s="21" t="str">
        <f t="shared" si="20"/>
        <v/>
      </c>
      <c r="G80" s="21">
        <f t="shared" si="21"/>
        <v>6533.333333333333</v>
      </c>
      <c r="H80" s="21" t="str">
        <f t="shared" si="22"/>
        <v/>
      </c>
      <c r="I80" s="22" t="str">
        <f t="shared" si="23"/>
        <v/>
      </c>
    </row>
    <row r="81" spans="1:9" ht="15.6" x14ac:dyDescent="0.3">
      <c r="A81" s="350" t="s">
        <v>26</v>
      </c>
      <c r="B81" s="349" t="s">
        <v>119</v>
      </c>
      <c r="C81" s="351" t="s">
        <v>120</v>
      </c>
      <c r="D81" s="412">
        <v>30</v>
      </c>
      <c r="E81" s="321">
        <v>1500</v>
      </c>
      <c r="F81" s="322" t="str">
        <f t="shared" si="20"/>
        <v/>
      </c>
      <c r="G81" s="322" t="str">
        <f t="shared" si="21"/>
        <v/>
      </c>
      <c r="H81" s="322" t="str">
        <f t="shared" si="22"/>
        <v/>
      </c>
      <c r="I81" s="323">
        <f t="shared" si="23"/>
        <v>45000</v>
      </c>
    </row>
    <row r="82" spans="1:9" ht="15.6" x14ac:dyDescent="0.3">
      <c r="A82" s="230"/>
      <c r="B82" s="234"/>
      <c r="C82" s="232"/>
      <c r="D82" s="530"/>
      <c r="E82" s="233"/>
      <c r="F82" s="228"/>
      <c r="G82" s="228"/>
      <c r="H82" s="228"/>
      <c r="I82" s="229"/>
    </row>
    <row r="83" spans="1:9" ht="15" customHeight="1" thickBot="1" x14ac:dyDescent="0.35">
      <c r="A83" s="342"/>
      <c r="B83" s="343" t="s">
        <v>31</v>
      </c>
      <c r="C83" s="344">
        <f>ROUND(SUM(F83:I83),0)</f>
        <v>81829</v>
      </c>
      <c r="D83" s="522" t="str">
        <f>+C70</f>
        <v>m</v>
      </c>
      <c r="E83" s="345"/>
      <c r="F83" s="346">
        <f>SUM(F74:F82)</f>
        <v>6084.8</v>
      </c>
      <c r="G83" s="346">
        <f>SUM(G74:G82)</f>
        <v>28166.666666666664</v>
      </c>
      <c r="H83" s="346">
        <f>SUM(H74:H82)</f>
        <v>2577.2311430164482</v>
      </c>
      <c r="I83" s="352">
        <f>SUM(I74:I82)</f>
        <v>45000</v>
      </c>
    </row>
    <row r="84" spans="1:9" ht="15.75" customHeight="1" thickTop="1" thickBot="1" x14ac:dyDescent="0.35"/>
    <row r="85" spans="1:9" ht="16.2" thickTop="1" x14ac:dyDescent="0.3">
      <c r="A85" s="854" t="s">
        <v>35</v>
      </c>
      <c r="B85" s="855"/>
      <c r="C85" s="943" t="s">
        <v>192</v>
      </c>
      <c r="D85" s="944"/>
      <c r="E85" s="944"/>
      <c r="F85" s="944"/>
      <c r="G85" s="944"/>
      <c r="H85" s="944"/>
      <c r="I85" s="945"/>
    </row>
    <row r="86" spans="1:9" ht="66.75" customHeight="1" x14ac:dyDescent="0.3">
      <c r="A86" s="946" t="s">
        <v>12</v>
      </c>
      <c r="B86" s="947"/>
      <c r="C86" s="948" t="s">
        <v>425</v>
      </c>
      <c r="D86" s="949"/>
      <c r="E86" s="949"/>
      <c r="F86" s="949"/>
      <c r="G86" s="949"/>
      <c r="H86" s="949"/>
      <c r="I86" s="950"/>
    </row>
    <row r="87" spans="1:9" ht="15.6" x14ac:dyDescent="0.3">
      <c r="A87" s="858" t="s">
        <v>13</v>
      </c>
      <c r="B87" s="859"/>
      <c r="C87" s="948" t="s">
        <v>4</v>
      </c>
      <c r="D87" s="949"/>
      <c r="E87" s="949"/>
      <c r="F87" s="949"/>
      <c r="G87" s="949"/>
      <c r="H87" s="949"/>
      <c r="I87" s="950"/>
    </row>
    <row r="88" spans="1:9" ht="15.6" x14ac:dyDescent="0.3">
      <c r="A88" s="862" t="s">
        <v>14</v>
      </c>
      <c r="B88" s="848" t="s">
        <v>15</v>
      </c>
      <c r="C88" s="864" t="s">
        <v>16</v>
      </c>
      <c r="D88" s="866" t="s">
        <v>17</v>
      </c>
      <c r="E88" s="868" t="s">
        <v>18</v>
      </c>
      <c r="F88" s="955" t="s">
        <v>19</v>
      </c>
      <c r="G88" s="956"/>
      <c r="H88" s="956"/>
      <c r="I88" s="957"/>
    </row>
    <row r="89" spans="1:9" ht="31.8" thickBot="1" x14ac:dyDescent="0.35">
      <c r="A89" s="863"/>
      <c r="B89" s="864"/>
      <c r="C89" s="952"/>
      <c r="D89" s="953"/>
      <c r="E89" s="954"/>
      <c r="F89" s="480" t="s">
        <v>20</v>
      </c>
      <c r="G89" s="480" t="s">
        <v>21</v>
      </c>
      <c r="H89" s="480" t="s">
        <v>22</v>
      </c>
      <c r="I89" s="14" t="s">
        <v>23</v>
      </c>
    </row>
    <row r="90" spans="1:9" ht="16.8" thickTop="1" thickBot="1" x14ac:dyDescent="0.35">
      <c r="A90" s="99"/>
      <c r="B90" s="99"/>
      <c r="C90" s="99"/>
      <c r="D90" s="526"/>
      <c r="E90" s="100"/>
      <c r="F90" s="99"/>
      <c r="G90" s="99"/>
      <c r="H90" s="99"/>
      <c r="I90" s="99"/>
    </row>
    <row r="91" spans="1:9" ht="16.2" thickTop="1" x14ac:dyDescent="0.3">
      <c r="A91" s="350" t="s">
        <v>32</v>
      </c>
      <c r="B91" s="349" t="s">
        <v>117</v>
      </c>
      <c r="C91" s="351" t="s">
        <v>7</v>
      </c>
      <c r="D91" s="412">
        <f>2*0.1*1</f>
        <v>0.2</v>
      </c>
      <c r="E91" s="321">
        <v>47000</v>
      </c>
      <c r="F91" s="322" t="str">
        <f t="shared" ref="F91:F96" si="24">IF(A91="MO",D91*E91,"")</f>
        <v/>
      </c>
      <c r="G91" s="322">
        <f t="shared" ref="G91:G96" si="25">IF(A91="MA",D91*E91,"")</f>
        <v>9400</v>
      </c>
      <c r="H91" s="322" t="str">
        <f t="shared" ref="H91:H96" si="26">IF(A91="HE",D91*E91,"")</f>
        <v/>
      </c>
      <c r="I91" s="323" t="str">
        <f t="shared" ref="I91:I96" si="27">IF(A91="OT",D91*E91,"")</f>
        <v/>
      </c>
    </row>
    <row r="92" spans="1:9" ht="15.6" x14ac:dyDescent="0.3">
      <c r="A92" s="375" t="s">
        <v>29</v>
      </c>
      <c r="B92" s="377" t="s">
        <v>304</v>
      </c>
      <c r="C92" s="383" t="s">
        <v>289</v>
      </c>
      <c r="D92" s="520">
        <f>+D91*1.8</f>
        <v>0.36000000000000004</v>
      </c>
      <c r="E92" s="321">
        <f>+$C$990</f>
        <v>8250.6174612024897</v>
      </c>
      <c r="F92" s="322" t="str">
        <f t="shared" si="24"/>
        <v/>
      </c>
      <c r="G92" s="322"/>
      <c r="H92" s="322">
        <f t="shared" si="26"/>
        <v>2970.2222860328966</v>
      </c>
      <c r="I92" s="323" t="str">
        <f>IF(A92="OT",D92*E92,"")</f>
        <v/>
      </c>
    </row>
    <row r="93" spans="1:9" ht="15.6" x14ac:dyDescent="0.3">
      <c r="A93" s="15" t="s">
        <v>24</v>
      </c>
      <c r="B93" s="11" t="s">
        <v>221</v>
      </c>
      <c r="C93" s="16" t="s">
        <v>25</v>
      </c>
      <c r="D93" s="515">
        <v>2.5000000000000001E-2</v>
      </c>
      <c r="E93" s="20">
        <f>+'M.O 2020'!B7</f>
        <v>243392</v>
      </c>
      <c r="F93" s="21">
        <f t="shared" si="24"/>
        <v>6084.8</v>
      </c>
      <c r="G93" s="21" t="str">
        <f t="shared" si="25"/>
        <v/>
      </c>
      <c r="H93" s="21" t="str">
        <f t="shared" si="26"/>
        <v/>
      </c>
      <c r="I93" s="22" t="str">
        <f t="shared" si="27"/>
        <v/>
      </c>
    </row>
    <row r="94" spans="1:9" ht="15.6" x14ac:dyDescent="0.3">
      <c r="A94" s="19" t="s">
        <v>29</v>
      </c>
      <c r="B94" s="13" t="s">
        <v>118</v>
      </c>
      <c r="C94" s="12" t="s">
        <v>86</v>
      </c>
      <c r="D94" s="523">
        <v>0.02</v>
      </c>
      <c r="E94" s="20">
        <v>39394</v>
      </c>
      <c r="F94" s="21" t="str">
        <f t="shared" si="24"/>
        <v/>
      </c>
      <c r="G94" s="21" t="str">
        <f t="shared" si="25"/>
        <v/>
      </c>
      <c r="H94" s="21">
        <f t="shared" si="26"/>
        <v>787.88</v>
      </c>
      <c r="I94" s="22" t="str">
        <f t="shared" si="27"/>
        <v/>
      </c>
    </row>
    <row r="95" spans="1:9" ht="15.6" x14ac:dyDescent="0.3">
      <c r="A95" s="19" t="s">
        <v>29</v>
      </c>
      <c r="B95" s="13" t="s">
        <v>30</v>
      </c>
      <c r="C95" s="12" t="s">
        <v>28</v>
      </c>
      <c r="D95" s="523">
        <v>0.05</v>
      </c>
      <c r="E95" s="20">
        <f>F93</f>
        <v>6084.8</v>
      </c>
      <c r="F95" s="21" t="str">
        <f t="shared" si="24"/>
        <v/>
      </c>
      <c r="G95" s="21" t="str">
        <f t="shared" si="25"/>
        <v/>
      </c>
      <c r="H95" s="21">
        <f t="shared" si="26"/>
        <v>304.24</v>
      </c>
      <c r="I95" s="22" t="str">
        <f t="shared" si="27"/>
        <v/>
      </c>
    </row>
    <row r="96" spans="1:9" ht="18" customHeight="1" x14ac:dyDescent="0.3">
      <c r="A96" s="350" t="s">
        <v>26</v>
      </c>
      <c r="B96" s="349" t="s">
        <v>119</v>
      </c>
      <c r="C96" s="351" t="s">
        <v>120</v>
      </c>
      <c r="D96" s="412">
        <v>30</v>
      </c>
      <c r="E96" s="321">
        <v>1500</v>
      </c>
      <c r="F96" s="322" t="str">
        <f t="shared" si="24"/>
        <v/>
      </c>
      <c r="G96" s="322" t="str">
        <f t="shared" si="25"/>
        <v/>
      </c>
      <c r="H96" s="322" t="str">
        <f t="shared" si="26"/>
        <v/>
      </c>
      <c r="I96" s="323">
        <f t="shared" si="27"/>
        <v>45000</v>
      </c>
    </row>
    <row r="97" spans="1:9" ht="16.2" thickBot="1" x14ac:dyDescent="0.35">
      <c r="A97" s="342"/>
      <c r="B97" s="343" t="s">
        <v>31</v>
      </c>
      <c r="C97" s="344">
        <f>ROUND(SUM(F97:I97),0)</f>
        <v>64547</v>
      </c>
      <c r="D97" s="522" t="str">
        <f>+C87</f>
        <v>m2</v>
      </c>
      <c r="E97" s="345"/>
      <c r="F97" s="346">
        <f>SUM(F91:F96)</f>
        <v>6084.8</v>
      </c>
      <c r="G97" s="346">
        <f>SUM(G91:G96)</f>
        <v>9400</v>
      </c>
      <c r="H97" s="346">
        <f>SUM(H91:H96)</f>
        <v>4062.3422860328965</v>
      </c>
      <c r="I97" s="352">
        <f>SUM(I91:I96)</f>
        <v>45000</v>
      </c>
    </row>
    <row r="98" spans="1:9" ht="15.6" thickTop="1" thickBot="1" x14ac:dyDescent="0.35"/>
    <row r="99" spans="1:9" ht="16.2" thickTop="1" x14ac:dyDescent="0.3">
      <c r="A99" s="854" t="s">
        <v>35</v>
      </c>
      <c r="B99" s="855"/>
      <c r="C99" s="943" t="s">
        <v>421</v>
      </c>
      <c r="D99" s="944"/>
      <c r="E99" s="944"/>
      <c r="F99" s="944"/>
      <c r="G99" s="944"/>
      <c r="H99" s="944"/>
      <c r="I99" s="945"/>
    </row>
    <row r="100" spans="1:9" ht="33" customHeight="1" x14ac:dyDescent="0.3">
      <c r="A100" s="946" t="s">
        <v>12</v>
      </c>
      <c r="B100" s="947"/>
      <c r="C100" s="948" t="s">
        <v>426</v>
      </c>
      <c r="D100" s="949"/>
      <c r="E100" s="949"/>
      <c r="F100" s="949"/>
      <c r="G100" s="949"/>
      <c r="H100" s="949"/>
      <c r="I100" s="950"/>
    </row>
    <row r="101" spans="1:9" ht="15.75" customHeight="1" x14ac:dyDescent="0.3">
      <c r="A101" s="858" t="s">
        <v>13</v>
      </c>
      <c r="B101" s="859"/>
      <c r="C101" s="948" t="s">
        <v>4</v>
      </c>
      <c r="D101" s="949"/>
      <c r="E101" s="949"/>
      <c r="F101" s="949"/>
      <c r="G101" s="949"/>
      <c r="H101" s="949"/>
      <c r="I101" s="950"/>
    </row>
    <row r="102" spans="1:9" ht="15.6" x14ac:dyDescent="0.3">
      <c r="A102" s="862" t="s">
        <v>14</v>
      </c>
      <c r="B102" s="848" t="s">
        <v>15</v>
      </c>
      <c r="C102" s="864" t="s">
        <v>16</v>
      </c>
      <c r="D102" s="866" t="s">
        <v>17</v>
      </c>
      <c r="E102" s="868" t="s">
        <v>18</v>
      </c>
      <c r="F102" s="955" t="s">
        <v>19</v>
      </c>
      <c r="G102" s="956"/>
      <c r="H102" s="956"/>
      <c r="I102" s="957"/>
    </row>
    <row r="103" spans="1:9" ht="31.8" thickBot="1" x14ac:dyDescent="0.35">
      <c r="A103" s="863"/>
      <c r="B103" s="864"/>
      <c r="C103" s="952"/>
      <c r="D103" s="953"/>
      <c r="E103" s="954"/>
      <c r="F103" s="480" t="s">
        <v>20</v>
      </c>
      <c r="G103" s="480" t="s">
        <v>21</v>
      </c>
      <c r="H103" s="480" t="s">
        <v>22</v>
      </c>
      <c r="I103" s="14" t="s">
        <v>23</v>
      </c>
    </row>
    <row r="104" spans="1:9" ht="16.8" thickTop="1" thickBot="1" x14ac:dyDescent="0.35">
      <c r="A104" s="99"/>
      <c r="B104" s="99"/>
      <c r="C104" s="99"/>
      <c r="D104" s="526"/>
      <c r="E104" s="100"/>
      <c r="F104" s="99"/>
      <c r="G104" s="99"/>
      <c r="H104" s="99"/>
      <c r="I104" s="99"/>
    </row>
    <row r="105" spans="1:9" ht="16.2" thickTop="1" x14ac:dyDescent="0.3">
      <c r="A105" s="350" t="s">
        <v>32</v>
      </c>
      <c r="B105" s="349" t="s">
        <v>117</v>
      </c>
      <c r="C105" s="351" t="s">
        <v>7</v>
      </c>
      <c r="D105" s="412">
        <v>0.01</v>
      </c>
      <c r="E105" s="321">
        <v>47000</v>
      </c>
      <c r="F105" s="322" t="str">
        <f t="shared" ref="F105:F109" si="28">IF(A105="MO",D105*E105,"")</f>
        <v/>
      </c>
      <c r="G105" s="322">
        <f t="shared" ref="G105:G109" si="29">IF(A105="MA",D105*E105,"")</f>
        <v>470</v>
      </c>
      <c r="H105" s="322" t="str">
        <f t="shared" ref="H105:H109" si="30">IF(A105="HE",D105*E105,"")</f>
        <v/>
      </c>
      <c r="I105" s="323" t="str">
        <f t="shared" ref="I105:I109" si="31">IF(A105="OT",D105*E105,"")</f>
        <v/>
      </c>
    </row>
    <row r="106" spans="1:9" ht="15.75" customHeight="1" x14ac:dyDescent="0.3">
      <c r="A106" s="15" t="s">
        <v>24</v>
      </c>
      <c r="B106" s="11" t="s">
        <v>221</v>
      </c>
      <c r="C106" s="16" t="s">
        <v>25</v>
      </c>
      <c r="D106" s="515">
        <v>2.5000000000000001E-2</v>
      </c>
      <c r="E106" s="20">
        <f>+'M.O 2020'!B7</f>
        <v>243392</v>
      </c>
      <c r="F106" s="21">
        <f t="shared" si="28"/>
        <v>6084.8</v>
      </c>
      <c r="G106" s="21" t="str">
        <f t="shared" si="29"/>
        <v/>
      </c>
      <c r="H106" s="21" t="str">
        <f t="shared" si="30"/>
        <v/>
      </c>
      <c r="I106" s="22" t="str">
        <f t="shared" si="31"/>
        <v/>
      </c>
    </row>
    <row r="107" spans="1:9" ht="15.6" x14ac:dyDescent="0.3">
      <c r="A107" s="19" t="s">
        <v>29</v>
      </c>
      <c r="B107" s="13" t="s">
        <v>118</v>
      </c>
      <c r="C107" s="12" t="s">
        <v>86</v>
      </c>
      <c r="D107" s="523">
        <v>0.02</v>
      </c>
      <c r="E107" s="20">
        <v>39394</v>
      </c>
      <c r="F107" s="21" t="str">
        <f t="shared" si="28"/>
        <v/>
      </c>
      <c r="G107" s="21" t="str">
        <f t="shared" si="29"/>
        <v/>
      </c>
      <c r="H107" s="21">
        <f t="shared" si="30"/>
        <v>787.88</v>
      </c>
      <c r="I107" s="22" t="str">
        <f t="shared" si="31"/>
        <v/>
      </c>
    </row>
    <row r="108" spans="1:9" ht="15.6" x14ac:dyDescent="0.3">
      <c r="A108" s="19" t="s">
        <v>29</v>
      </c>
      <c r="B108" s="13" t="s">
        <v>30</v>
      </c>
      <c r="C108" s="12" t="s">
        <v>28</v>
      </c>
      <c r="D108" s="523">
        <v>0.05</v>
      </c>
      <c r="E108" s="20">
        <f>F106</f>
        <v>6084.8</v>
      </c>
      <c r="F108" s="21" t="str">
        <f t="shared" si="28"/>
        <v/>
      </c>
      <c r="G108" s="21" t="str">
        <f t="shared" si="29"/>
        <v/>
      </c>
      <c r="H108" s="21">
        <f t="shared" si="30"/>
        <v>304.24</v>
      </c>
      <c r="I108" s="22" t="str">
        <f t="shared" si="31"/>
        <v/>
      </c>
    </row>
    <row r="109" spans="1:9" ht="15.6" x14ac:dyDescent="0.3">
      <c r="A109" s="350" t="s">
        <v>26</v>
      </c>
      <c r="B109" s="349" t="s">
        <v>119</v>
      </c>
      <c r="C109" s="351" t="s">
        <v>120</v>
      </c>
      <c r="D109" s="412">
        <v>30</v>
      </c>
      <c r="E109" s="321">
        <v>1500</v>
      </c>
      <c r="F109" s="322" t="str">
        <f t="shared" si="28"/>
        <v/>
      </c>
      <c r="G109" s="322" t="str">
        <f t="shared" si="29"/>
        <v/>
      </c>
      <c r="H109" s="322" t="str">
        <f t="shared" si="30"/>
        <v/>
      </c>
      <c r="I109" s="323">
        <f t="shared" si="31"/>
        <v>45000</v>
      </c>
    </row>
    <row r="110" spans="1:9" ht="15.6" x14ac:dyDescent="0.3">
      <c r="A110" s="230"/>
      <c r="B110" s="234"/>
      <c r="C110" s="232"/>
      <c r="D110" s="530"/>
      <c r="E110" s="233"/>
      <c r="F110" s="228"/>
      <c r="G110" s="228"/>
      <c r="H110" s="228"/>
      <c r="I110" s="229"/>
    </row>
    <row r="111" spans="1:9" ht="16.2" thickBot="1" x14ac:dyDescent="0.35">
      <c r="A111" s="342"/>
      <c r="B111" s="343" t="s">
        <v>31</v>
      </c>
      <c r="C111" s="344">
        <f>ROUND(SUM(F111:I111),0)</f>
        <v>52647</v>
      </c>
      <c r="D111" s="522" t="str">
        <f>+C101</f>
        <v>m2</v>
      </c>
      <c r="E111" s="345"/>
      <c r="F111" s="346">
        <f>SUM(F105:F110)</f>
        <v>6084.8</v>
      </c>
      <c r="G111" s="346">
        <f>SUM(G105:G110)</f>
        <v>470</v>
      </c>
      <c r="H111" s="346">
        <f>SUM(H105:H110)</f>
        <v>1092.1199999999999</v>
      </c>
      <c r="I111" s="352">
        <f>SUM(I105:I110)</f>
        <v>45000</v>
      </c>
    </row>
    <row r="112" spans="1:9" ht="15.6" thickTop="1" thickBot="1" x14ac:dyDescent="0.35"/>
    <row r="113" spans="1:9" ht="16.2" thickTop="1" x14ac:dyDescent="0.3">
      <c r="A113" s="964" t="s">
        <v>35</v>
      </c>
      <c r="B113" s="965"/>
      <c r="C113" s="966" t="s">
        <v>215</v>
      </c>
      <c r="D113" s="967"/>
      <c r="E113" s="967"/>
      <c r="F113" s="967"/>
      <c r="G113" s="967"/>
      <c r="H113" s="967"/>
      <c r="I113" s="968"/>
    </row>
    <row r="114" spans="1:9" ht="18" customHeight="1" x14ac:dyDescent="0.3">
      <c r="A114" s="858" t="s">
        <v>12</v>
      </c>
      <c r="B114" s="859"/>
      <c r="C114" s="969" t="s">
        <v>427</v>
      </c>
      <c r="D114" s="970"/>
      <c r="E114" s="970"/>
      <c r="F114" s="970"/>
      <c r="G114" s="970"/>
      <c r="H114" s="970"/>
      <c r="I114" s="971"/>
    </row>
    <row r="115" spans="1:9" ht="18" x14ac:dyDescent="0.3">
      <c r="A115" s="972" t="s">
        <v>13</v>
      </c>
      <c r="B115" s="973"/>
      <c r="C115" s="974" t="s">
        <v>216</v>
      </c>
      <c r="D115" s="975"/>
      <c r="E115" s="975"/>
      <c r="F115" s="975"/>
      <c r="G115" s="975"/>
      <c r="H115" s="975"/>
      <c r="I115" s="976"/>
    </row>
    <row r="116" spans="1:9" ht="15.6" x14ac:dyDescent="0.3">
      <c r="A116" s="977" t="s">
        <v>14</v>
      </c>
      <c r="B116" s="979" t="s">
        <v>15</v>
      </c>
      <c r="C116" s="979" t="s">
        <v>16</v>
      </c>
      <c r="D116" s="982" t="s">
        <v>17</v>
      </c>
      <c r="E116" s="984" t="s">
        <v>18</v>
      </c>
      <c r="F116" s="986" t="s">
        <v>19</v>
      </c>
      <c r="G116" s="987"/>
      <c r="H116" s="987"/>
      <c r="I116" s="988"/>
    </row>
    <row r="117" spans="1:9" ht="31.8" thickBot="1" x14ac:dyDescent="0.35">
      <c r="A117" s="978"/>
      <c r="B117" s="980"/>
      <c r="C117" s="981"/>
      <c r="D117" s="983"/>
      <c r="E117" s="985"/>
      <c r="F117" s="482" t="s">
        <v>20</v>
      </c>
      <c r="G117" s="482" t="s">
        <v>21</v>
      </c>
      <c r="H117" s="482" t="s">
        <v>22</v>
      </c>
      <c r="I117" s="57" t="s">
        <v>23</v>
      </c>
    </row>
    <row r="118" spans="1:9" ht="16.8" thickTop="1" thickBot="1" x14ac:dyDescent="0.35">
      <c r="A118" s="58"/>
      <c r="B118" s="59"/>
      <c r="C118" s="59"/>
      <c r="D118" s="531"/>
      <c r="E118" s="224"/>
      <c r="F118" s="59"/>
      <c r="G118" s="59"/>
      <c r="H118" s="59"/>
      <c r="I118" s="59"/>
    </row>
    <row r="119" spans="1:9" ht="16.2" thickTop="1" x14ac:dyDescent="0.3">
      <c r="A119" s="60" t="s">
        <v>24</v>
      </c>
      <c r="B119" s="13" t="s">
        <v>27</v>
      </c>
      <c r="C119" s="12" t="s">
        <v>112</v>
      </c>
      <c r="D119" s="524">
        <v>0.04</v>
      </c>
      <c r="E119" s="20">
        <f>+F121</f>
        <v>73017.600000000006</v>
      </c>
      <c r="F119" s="62">
        <f>IF(A119="MO",D119*E119,"")</f>
        <v>2920.7040000000002</v>
      </c>
      <c r="G119" s="62" t="str">
        <f>IF(A119="MA",D119*E119,"")</f>
        <v/>
      </c>
      <c r="H119" s="62" t="str">
        <f>IF(A119="HE",D119*E119,"")</f>
        <v/>
      </c>
      <c r="I119" s="63" t="str">
        <f>IF(A119="OT",D119*E119,"")</f>
        <v/>
      </c>
    </row>
    <row r="120" spans="1:9" ht="15.75" customHeight="1" x14ac:dyDescent="0.3">
      <c r="A120" s="64" t="s">
        <v>29</v>
      </c>
      <c r="B120" s="13" t="s">
        <v>832</v>
      </c>
      <c r="C120" s="12" t="s">
        <v>217</v>
      </c>
      <c r="D120" s="523">
        <v>0.4</v>
      </c>
      <c r="E120" s="20">
        <v>49763</v>
      </c>
      <c r="F120" s="65" t="str">
        <f>IF(A120="MO",D120*E120,"")</f>
        <v/>
      </c>
      <c r="G120" s="65" t="str">
        <f>IF(A120="MA",D120*E120,"")</f>
        <v/>
      </c>
      <c r="H120" s="65">
        <f>IF(A120="HE",D120*E120,"")</f>
        <v>19905.2</v>
      </c>
      <c r="I120" s="66" t="str">
        <f>IF(A120="OT",D120*E120,"")</f>
        <v/>
      </c>
    </row>
    <row r="121" spans="1:9" ht="15.75" customHeight="1" x14ac:dyDescent="0.3">
      <c r="A121" s="67" t="s">
        <v>24</v>
      </c>
      <c r="B121" s="13" t="s">
        <v>218</v>
      </c>
      <c r="C121" s="12" t="s">
        <v>36</v>
      </c>
      <c r="D121" s="523">
        <v>0.4</v>
      </c>
      <c r="E121" s="20">
        <f>+'M.O 2020'!B6</f>
        <v>182544</v>
      </c>
      <c r="F121" s="65">
        <f>IF(A121="MO",D121*E121,"")</f>
        <v>73017.600000000006</v>
      </c>
      <c r="G121" s="65" t="str">
        <f>IF(A121="MA",D121*E121,"")</f>
        <v/>
      </c>
      <c r="H121" s="65" t="str">
        <f>IF(A121="HE",D121*E121,"")</f>
        <v/>
      </c>
      <c r="I121" s="66" t="str">
        <f>IF(A121="OT",D121*E121,"")</f>
        <v/>
      </c>
    </row>
    <row r="122" spans="1:9" ht="15.75" customHeight="1" x14ac:dyDescent="0.3">
      <c r="A122" s="67" t="s">
        <v>29</v>
      </c>
      <c r="B122" s="13" t="s">
        <v>115</v>
      </c>
      <c r="C122" s="12" t="s">
        <v>112</v>
      </c>
      <c r="D122" s="524">
        <v>0.05</v>
      </c>
      <c r="E122" s="20">
        <f>+F121</f>
        <v>73017.600000000006</v>
      </c>
      <c r="F122" s="65" t="str">
        <f>IF(A122="MO",D122*E122,"")</f>
        <v/>
      </c>
      <c r="G122" s="65" t="str">
        <f>IF(A122="MA",D122*E122,"")</f>
        <v/>
      </c>
      <c r="H122" s="65">
        <f>IF(A122="HE",D122*E122,"")</f>
        <v>3650.8800000000006</v>
      </c>
      <c r="I122" s="66" t="str">
        <f>IF(A122="OT",D122*E122,"")</f>
        <v/>
      </c>
    </row>
    <row r="123" spans="1:9" ht="15.6" x14ac:dyDescent="0.3">
      <c r="A123" s="67"/>
      <c r="B123" s="68"/>
      <c r="C123" s="69"/>
      <c r="D123" s="532"/>
      <c r="E123" s="225"/>
      <c r="F123" s="70"/>
      <c r="G123" s="70"/>
      <c r="H123" s="70"/>
      <c r="I123" s="66"/>
    </row>
    <row r="124" spans="1:9" ht="31.5" customHeight="1" thickBot="1" x14ac:dyDescent="0.35">
      <c r="A124" s="71"/>
      <c r="B124" s="72" t="s">
        <v>31</v>
      </c>
      <c r="C124" s="73">
        <f>ROUND(SUM(F124:I124),0)</f>
        <v>99494</v>
      </c>
      <c r="D124" s="533" t="str">
        <f>+C115</f>
        <v>m3</v>
      </c>
      <c r="E124" s="226"/>
      <c r="F124" s="74">
        <f>SUM(F119:F122)</f>
        <v>75938.304000000004</v>
      </c>
      <c r="G124" s="74">
        <f>SUM(G119:G122)</f>
        <v>0</v>
      </c>
      <c r="H124" s="74">
        <f>SUM(H119:H122)</f>
        <v>23556.080000000002</v>
      </c>
      <c r="I124" s="75">
        <f>SUM(I119:I122)</f>
        <v>0</v>
      </c>
    </row>
    <row r="125" spans="1:9" ht="15.6" thickTop="1" thickBot="1" x14ac:dyDescent="0.35"/>
    <row r="126" spans="1:9" ht="16.2" thickTop="1" x14ac:dyDescent="0.3">
      <c r="A126" s="870" t="s">
        <v>35</v>
      </c>
      <c r="B126" s="871"/>
      <c r="C126" s="1020" t="s">
        <v>422</v>
      </c>
      <c r="D126" s="1021"/>
      <c r="E126" s="1021"/>
      <c r="F126" s="1021"/>
      <c r="G126" s="1021"/>
      <c r="H126" s="1021"/>
      <c r="I126" s="1022"/>
    </row>
    <row r="127" spans="1:9" ht="35.25" customHeight="1" x14ac:dyDescent="0.3">
      <c r="A127" s="875" t="s">
        <v>12</v>
      </c>
      <c r="B127" s="876"/>
      <c r="C127" s="877" t="s">
        <v>443</v>
      </c>
      <c r="D127" s="878"/>
      <c r="E127" s="878"/>
      <c r="F127" s="878"/>
      <c r="G127" s="878"/>
      <c r="H127" s="878"/>
      <c r="I127" s="879"/>
    </row>
    <row r="128" spans="1:9" ht="15.6" x14ac:dyDescent="0.3">
      <c r="A128" s="875" t="s">
        <v>13</v>
      </c>
      <c r="B128" s="876"/>
      <c r="C128" s="877" t="s">
        <v>113</v>
      </c>
      <c r="D128" s="878"/>
      <c r="E128" s="878"/>
      <c r="F128" s="878"/>
      <c r="G128" s="878"/>
      <c r="H128" s="878"/>
      <c r="I128" s="879"/>
    </row>
    <row r="129" spans="1:9" ht="15.6" x14ac:dyDescent="0.3">
      <c r="A129" s="880" t="s">
        <v>14</v>
      </c>
      <c r="B129" s="882" t="s">
        <v>15</v>
      </c>
      <c r="C129" s="883" t="s">
        <v>16</v>
      </c>
      <c r="D129" s="885" t="s">
        <v>17</v>
      </c>
      <c r="E129" s="887" t="s">
        <v>18</v>
      </c>
      <c r="F129" s="889" t="s">
        <v>19</v>
      </c>
      <c r="G129" s="890"/>
      <c r="H129" s="890"/>
      <c r="I129" s="891"/>
    </row>
    <row r="130" spans="1:9" ht="31.8" thickBot="1" x14ac:dyDescent="0.35">
      <c r="A130" s="881"/>
      <c r="B130" s="883"/>
      <c r="C130" s="884"/>
      <c r="D130" s="886"/>
      <c r="E130" s="888"/>
      <c r="F130" s="481" t="s">
        <v>20</v>
      </c>
      <c r="G130" s="481" t="s">
        <v>21</v>
      </c>
      <c r="H130" s="481" t="s">
        <v>22</v>
      </c>
      <c r="I130" s="362" t="s">
        <v>23</v>
      </c>
    </row>
    <row r="131" spans="1:9" ht="16.8" thickTop="1" thickBot="1" x14ac:dyDescent="0.35">
      <c r="A131" s="380"/>
      <c r="B131" s="380"/>
      <c r="C131" s="380"/>
      <c r="D131" s="518"/>
      <c r="E131" s="381"/>
      <c r="F131" s="380"/>
      <c r="G131" s="380"/>
      <c r="H131" s="380"/>
      <c r="I131" s="380"/>
    </row>
    <row r="132" spans="1:9" ht="16.2" thickTop="1" x14ac:dyDescent="0.3">
      <c r="A132" s="318"/>
      <c r="B132" s="425" t="s">
        <v>271</v>
      </c>
      <c r="C132" s="357" t="s">
        <v>110</v>
      </c>
      <c r="D132" s="534" t="s">
        <v>110</v>
      </c>
      <c r="E132" s="361" t="s">
        <v>110</v>
      </c>
      <c r="F132" s="322" t="str">
        <f>IF(A132="MO",D132*E132,"")</f>
        <v/>
      </c>
      <c r="G132" s="322" t="str">
        <f>IF(A132="MA",D132*E132,"")</f>
        <v/>
      </c>
      <c r="H132" s="322" t="str">
        <f>IF(A132="HE",D132*E132,"")</f>
        <v/>
      </c>
      <c r="I132" s="323" t="str">
        <f>IF(A132="OT",D132*E132,"")</f>
        <v/>
      </c>
    </row>
    <row r="133" spans="1:9" ht="15.6" x14ac:dyDescent="0.3">
      <c r="A133" s="318" t="s">
        <v>32</v>
      </c>
      <c r="B133" s="426" t="s">
        <v>272</v>
      </c>
      <c r="C133" s="357" t="s">
        <v>273</v>
      </c>
      <c r="D133" s="534">
        <v>8</v>
      </c>
      <c r="E133" s="321">
        <f>+'especiales '!D4</f>
        <v>50337.4</v>
      </c>
      <c r="F133" s="322" t="str">
        <f t="shared" ref="F133:F144" si="32">IF(A133="MO",D133*E133,"")</f>
        <v/>
      </c>
      <c r="G133" s="322">
        <f>IF(A133="MA",D133*E133,"")</f>
        <v>402699.2</v>
      </c>
      <c r="H133" s="322" t="str">
        <f t="shared" ref="H133:H144" si="33">IF(A133="HE",D133*E133,"")</f>
        <v/>
      </c>
      <c r="I133" s="323" t="str">
        <f t="shared" ref="I133:I144" si="34">IF(A133="OT",D133*E133,"")</f>
        <v/>
      </c>
    </row>
    <row r="134" spans="1:9" ht="15.6" x14ac:dyDescent="0.3">
      <c r="A134" s="355" t="s">
        <v>32</v>
      </c>
      <c r="B134" s="427" t="s">
        <v>274</v>
      </c>
      <c r="C134" s="357" t="s">
        <v>235</v>
      </c>
      <c r="D134" s="534">
        <v>1</v>
      </c>
      <c r="E134" s="321">
        <f>+'especiales '!D5</f>
        <v>400342.9</v>
      </c>
      <c r="F134" s="322" t="str">
        <f t="shared" si="32"/>
        <v/>
      </c>
      <c r="G134" s="322">
        <f t="shared" ref="G134:G144" si="35">IF(A134="MA",D134*E134,"")</f>
        <v>400342.9</v>
      </c>
      <c r="H134" s="322" t="str">
        <f t="shared" si="33"/>
        <v/>
      </c>
      <c r="I134" s="323" t="str">
        <f t="shared" si="34"/>
        <v/>
      </c>
    </row>
    <row r="135" spans="1:9" ht="15.6" x14ac:dyDescent="0.3">
      <c r="A135" s="355" t="s">
        <v>32</v>
      </c>
      <c r="B135" s="427" t="s">
        <v>275</v>
      </c>
      <c r="C135" s="357" t="s">
        <v>235</v>
      </c>
      <c r="D135" s="534">
        <v>1</v>
      </c>
      <c r="E135" s="361">
        <f>+'especiales '!D6</f>
        <v>264539.09999999998</v>
      </c>
      <c r="F135" s="322" t="str">
        <f t="shared" si="32"/>
        <v/>
      </c>
      <c r="G135" s="322">
        <f t="shared" si="35"/>
        <v>264539.09999999998</v>
      </c>
      <c r="H135" s="322" t="str">
        <f t="shared" si="33"/>
        <v/>
      </c>
      <c r="I135" s="323" t="str">
        <f t="shared" si="34"/>
        <v/>
      </c>
    </row>
    <row r="136" spans="1:9" ht="15.6" x14ac:dyDescent="0.3">
      <c r="A136" s="318"/>
      <c r="B136" s="421" t="s">
        <v>276</v>
      </c>
      <c r="C136" s="320" t="s">
        <v>110</v>
      </c>
      <c r="D136" s="412" t="s">
        <v>110</v>
      </c>
      <c r="E136" s="321" t="s">
        <v>110</v>
      </c>
      <c r="F136" s="322" t="str">
        <f t="shared" si="32"/>
        <v/>
      </c>
      <c r="G136" s="322" t="str">
        <f t="shared" si="35"/>
        <v/>
      </c>
      <c r="H136" s="322" t="str">
        <f t="shared" si="33"/>
        <v/>
      </c>
      <c r="I136" s="323" t="str">
        <f t="shared" si="34"/>
        <v/>
      </c>
    </row>
    <row r="137" spans="1:9" ht="46.8" x14ac:dyDescent="0.3">
      <c r="A137" s="318" t="s">
        <v>32</v>
      </c>
      <c r="B137" s="428" t="s">
        <v>277</v>
      </c>
      <c r="C137" s="320" t="s">
        <v>273</v>
      </c>
      <c r="D137" s="412">
        <v>480</v>
      </c>
      <c r="E137" s="321">
        <f>+'especiales '!D7</f>
        <v>41983.5</v>
      </c>
      <c r="F137" s="322" t="str">
        <f t="shared" si="32"/>
        <v/>
      </c>
      <c r="G137" s="322">
        <f t="shared" si="35"/>
        <v>20152080</v>
      </c>
      <c r="H137" s="322" t="str">
        <f t="shared" si="33"/>
        <v/>
      </c>
      <c r="I137" s="323" t="str">
        <f t="shared" si="34"/>
        <v/>
      </c>
    </row>
    <row r="138" spans="1:9" ht="15.6" x14ac:dyDescent="0.3">
      <c r="A138" s="318" t="s">
        <v>32</v>
      </c>
      <c r="B138" s="428" t="s">
        <v>278</v>
      </c>
      <c r="C138" s="320" t="s">
        <v>235</v>
      </c>
      <c r="D138" s="412">
        <v>3</v>
      </c>
      <c r="E138" s="321">
        <f>+'especiales '!D8</f>
        <v>267752.09999999998</v>
      </c>
      <c r="F138" s="322" t="str">
        <f t="shared" si="32"/>
        <v/>
      </c>
      <c r="G138" s="322">
        <f t="shared" si="35"/>
        <v>803256.29999999993</v>
      </c>
      <c r="H138" s="322" t="str">
        <f t="shared" si="33"/>
        <v/>
      </c>
      <c r="I138" s="323" t="str">
        <f t="shared" si="34"/>
        <v/>
      </c>
    </row>
    <row r="139" spans="1:9" ht="15.6" x14ac:dyDescent="0.3">
      <c r="A139" s="318" t="s">
        <v>32</v>
      </c>
      <c r="B139" s="428" t="s">
        <v>279</v>
      </c>
      <c r="C139" s="320" t="s">
        <v>235</v>
      </c>
      <c r="D139" s="412">
        <v>16</v>
      </c>
      <c r="E139" s="321">
        <f>+'especiales '!D9</f>
        <v>991753.8</v>
      </c>
      <c r="F139" s="322" t="str">
        <f t="shared" si="32"/>
        <v/>
      </c>
      <c r="G139" s="322">
        <f t="shared" si="35"/>
        <v>15868060.800000001</v>
      </c>
      <c r="H139" s="322" t="str">
        <f t="shared" si="33"/>
        <v/>
      </c>
      <c r="I139" s="323" t="str">
        <f t="shared" si="34"/>
        <v/>
      </c>
    </row>
    <row r="140" spans="1:9" ht="15.6" x14ac:dyDescent="0.3">
      <c r="A140" s="318" t="s">
        <v>32</v>
      </c>
      <c r="B140" s="428" t="s">
        <v>280</v>
      </c>
      <c r="C140" s="320" t="s">
        <v>235</v>
      </c>
      <c r="D140" s="412">
        <v>4</v>
      </c>
      <c r="E140" s="321">
        <f>+'especiales '!D10</f>
        <v>369497.9</v>
      </c>
      <c r="F140" s="322" t="str">
        <f t="shared" si="32"/>
        <v/>
      </c>
      <c r="G140" s="322">
        <f t="shared" si="35"/>
        <v>1477991.6</v>
      </c>
      <c r="H140" s="322" t="str">
        <f t="shared" si="33"/>
        <v/>
      </c>
      <c r="I140" s="323" t="str">
        <f t="shared" si="34"/>
        <v/>
      </c>
    </row>
    <row r="141" spans="1:9" ht="15.6" x14ac:dyDescent="0.3">
      <c r="A141" s="318"/>
      <c r="B141" s="421" t="s">
        <v>281</v>
      </c>
      <c r="C141" s="320" t="s">
        <v>110</v>
      </c>
      <c r="D141" s="412" t="s">
        <v>110</v>
      </c>
      <c r="E141" s="321" t="s">
        <v>110</v>
      </c>
      <c r="F141" s="322" t="str">
        <f t="shared" si="32"/>
        <v/>
      </c>
      <c r="G141" s="322" t="str">
        <f t="shared" si="35"/>
        <v/>
      </c>
      <c r="H141" s="322" t="str">
        <f t="shared" si="33"/>
        <v/>
      </c>
      <c r="I141" s="323" t="str">
        <f t="shared" si="34"/>
        <v/>
      </c>
    </row>
    <row r="142" spans="1:9" ht="31.2" x14ac:dyDescent="0.3">
      <c r="A142" s="318" t="s">
        <v>32</v>
      </c>
      <c r="B142" s="428" t="s">
        <v>282</v>
      </c>
      <c r="C142" s="320" t="s">
        <v>235</v>
      </c>
      <c r="D142" s="412">
        <v>2</v>
      </c>
      <c r="E142" s="321">
        <f>+'especiales '!D11</f>
        <v>461604.6</v>
      </c>
      <c r="F142" s="322" t="str">
        <f t="shared" si="32"/>
        <v/>
      </c>
      <c r="G142" s="322">
        <f t="shared" si="35"/>
        <v>923209.2</v>
      </c>
      <c r="H142" s="322" t="str">
        <f t="shared" si="33"/>
        <v/>
      </c>
      <c r="I142" s="323" t="str">
        <f t="shared" si="34"/>
        <v/>
      </c>
    </row>
    <row r="143" spans="1:9" ht="15.6" x14ac:dyDescent="0.3">
      <c r="A143" s="318" t="s">
        <v>32</v>
      </c>
      <c r="B143" s="428" t="s">
        <v>284</v>
      </c>
      <c r="C143" s="320" t="s">
        <v>235</v>
      </c>
      <c r="D143" s="412">
        <v>30</v>
      </c>
      <c r="E143" s="321">
        <f>+'especiales '!D12</f>
        <v>15529.6</v>
      </c>
      <c r="F143" s="322" t="str">
        <f t="shared" si="32"/>
        <v/>
      </c>
      <c r="G143" s="322">
        <f t="shared" si="35"/>
        <v>465888</v>
      </c>
      <c r="H143" s="322" t="str">
        <f t="shared" si="33"/>
        <v/>
      </c>
      <c r="I143" s="323" t="str">
        <f t="shared" si="34"/>
        <v/>
      </c>
    </row>
    <row r="144" spans="1:9" ht="15.6" x14ac:dyDescent="0.3">
      <c r="A144" s="318" t="s">
        <v>32</v>
      </c>
      <c r="B144" s="428" t="s">
        <v>285</v>
      </c>
      <c r="C144" s="320" t="s">
        <v>235</v>
      </c>
      <c r="D144" s="412">
        <v>2</v>
      </c>
      <c r="E144" s="321">
        <f>+'especiales '!D13</f>
        <v>1041127.3</v>
      </c>
      <c r="F144" s="322" t="str">
        <f t="shared" si="32"/>
        <v/>
      </c>
      <c r="G144" s="322">
        <f t="shared" si="35"/>
        <v>2082254.6</v>
      </c>
      <c r="H144" s="322" t="str">
        <f t="shared" si="33"/>
        <v/>
      </c>
      <c r="I144" s="323" t="str">
        <f t="shared" si="34"/>
        <v/>
      </c>
    </row>
    <row r="145" spans="1:9" ht="15.6" x14ac:dyDescent="0.3">
      <c r="A145" s="318"/>
      <c r="B145" s="349"/>
      <c r="C145" s="320"/>
      <c r="D145" s="412"/>
      <c r="E145" s="321"/>
      <c r="F145" s="322"/>
      <c r="G145" s="322"/>
      <c r="H145" s="322"/>
      <c r="I145" s="323"/>
    </row>
    <row r="146" spans="1:9" ht="15.6" x14ac:dyDescent="0.3">
      <c r="A146" s="350"/>
      <c r="B146" s="349"/>
      <c r="C146" s="351"/>
      <c r="D146" s="412"/>
      <c r="E146" s="321"/>
      <c r="F146" s="322" t="str">
        <f>IF(A146="MO",D146*E146,"")</f>
        <v/>
      </c>
      <c r="G146" s="322" t="str">
        <f>IF(A146="MA",D146*E146,"")</f>
        <v/>
      </c>
      <c r="H146" s="322" t="str">
        <f>IF(A146="HE",D146*E146,"")</f>
        <v/>
      </c>
      <c r="I146" s="323" t="str">
        <f>IF(A146="OT",D146*E146,"")</f>
        <v/>
      </c>
    </row>
    <row r="147" spans="1:9" ht="16.2" thickBot="1" x14ac:dyDescent="0.35">
      <c r="A147" s="342"/>
      <c r="B147" s="343" t="s">
        <v>31</v>
      </c>
      <c r="C147" s="344">
        <f>ROUND(SUM(F147:I147),0)</f>
        <v>42840322</v>
      </c>
      <c r="D147" s="522" t="str">
        <f>+C128</f>
        <v>Un</v>
      </c>
      <c r="E147" s="345"/>
      <c r="F147" s="346">
        <f>SUM(F132:F146)</f>
        <v>0</v>
      </c>
      <c r="G147" s="346">
        <f>SUM(G132:G146)</f>
        <v>42840321.700000003</v>
      </c>
      <c r="H147" s="346">
        <f>SUM(H132:H146)</f>
        <v>0</v>
      </c>
      <c r="I147" s="393">
        <f>SUM(I132:I146)</f>
        <v>0</v>
      </c>
    </row>
    <row r="148" spans="1:9" ht="15.6" thickTop="1" thickBot="1" x14ac:dyDescent="0.35"/>
    <row r="149" spans="1:9" ht="16.2" thickTop="1" x14ac:dyDescent="0.3">
      <c r="A149" s="941" t="s">
        <v>35</v>
      </c>
      <c r="B149" s="942"/>
      <c r="C149" s="943" t="s">
        <v>453</v>
      </c>
      <c r="D149" s="944"/>
      <c r="E149" s="944"/>
      <c r="F149" s="944"/>
      <c r="G149" s="944"/>
      <c r="H149" s="944"/>
      <c r="I149" s="945"/>
    </row>
    <row r="150" spans="1:9" ht="15.6" x14ac:dyDescent="0.3">
      <c r="A150" s="946" t="s">
        <v>12</v>
      </c>
      <c r="B150" s="947"/>
      <c r="C150" s="948" t="s">
        <v>454</v>
      </c>
      <c r="D150" s="949"/>
      <c r="E150" s="949"/>
      <c r="F150" s="949"/>
      <c r="G150" s="949"/>
      <c r="H150" s="949"/>
      <c r="I150" s="950"/>
    </row>
    <row r="151" spans="1:9" ht="15.6" x14ac:dyDescent="0.3">
      <c r="A151" s="946" t="s">
        <v>13</v>
      </c>
      <c r="B151" s="947"/>
      <c r="C151" s="948" t="s">
        <v>216</v>
      </c>
      <c r="D151" s="949"/>
      <c r="E151" s="949"/>
      <c r="F151" s="949"/>
      <c r="G151" s="949"/>
      <c r="H151" s="949"/>
      <c r="I151" s="950"/>
    </row>
    <row r="152" spans="1:9" ht="48" customHeight="1" x14ac:dyDescent="0.3">
      <c r="A152" s="863" t="s">
        <v>14</v>
      </c>
      <c r="B152" s="864" t="s">
        <v>15</v>
      </c>
      <c r="C152" s="864" t="s">
        <v>16</v>
      </c>
      <c r="D152" s="866" t="s">
        <v>17</v>
      </c>
      <c r="E152" s="868" t="s">
        <v>18</v>
      </c>
      <c r="F152" s="955" t="s">
        <v>19</v>
      </c>
      <c r="G152" s="956"/>
      <c r="H152" s="956"/>
      <c r="I152" s="957"/>
    </row>
    <row r="153" spans="1:9" ht="31.8" thickBot="1" x14ac:dyDescent="0.35">
      <c r="A153" s="951"/>
      <c r="B153" s="952"/>
      <c r="C153" s="952"/>
      <c r="D153" s="953"/>
      <c r="E153" s="954"/>
      <c r="F153" s="480" t="s">
        <v>20</v>
      </c>
      <c r="G153" s="480" t="s">
        <v>21</v>
      </c>
      <c r="H153" s="480" t="s">
        <v>22</v>
      </c>
      <c r="I153" s="14" t="s">
        <v>23</v>
      </c>
    </row>
    <row r="154" spans="1:9" ht="16.8" thickTop="1" thickBot="1" x14ac:dyDescent="0.35">
      <c r="A154" s="9"/>
      <c r="B154" s="9"/>
      <c r="C154" s="9"/>
      <c r="D154" s="513"/>
      <c r="E154" s="10"/>
      <c r="F154" s="9"/>
      <c r="G154" s="9"/>
      <c r="H154" s="9"/>
      <c r="I154" s="9"/>
    </row>
    <row r="155" spans="1:9" ht="16.2" thickTop="1" x14ac:dyDescent="0.3">
      <c r="A155" s="19" t="s">
        <v>24</v>
      </c>
      <c r="B155" s="13" t="s">
        <v>27</v>
      </c>
      <c r="C155" s="12" t="s">
        <v>208</v>
      </c>
      <c r="D155" s="524">
        <v>0.04</v>
      </c>
      <c r="E155" s="20">
        <f>+F156</f>
        <v>16307.264000000001</v>
      </c>
      <c r="F155" s="21">
        <f t="shared" ref="F155:F158" si="36">IF(A155="MO",D155*E155,"")</f>
        <v>652.29056000000003</v>
      </c>
      <c r="G155" s="21" t="str">
        <f t="shared" ref="G155:G158" si="37">IF(A155="MA",D155*E155,"")</f>
        <v/>
      </c>
      <c r="H155" s="21" t="str">
        <f t="shared" ref="H155:H158" si="38">IF(A155="HE",D155*E155,"")</f>
        <v/>
      </c>
      <c r="I155" s="22" t="str">
        <f t="shared" ref="I155:I158" si="39">IF(A155="OT",D155*E155,"")</f>
        <v/>
      </c>
    </row>
    <row r="156" spans="1:9" ht="15.6" x14ac:dyDescent="0.3">
      <c r="A156" s="19" t="s">
        <v>24</v>
      </c>
      <c r="B156" s="13" t="s">
        <v>221</v>
      </c>
      <c r="C156" s="12" t="s">
        <v>36</v>
      </c>
      <c r="D156" s="523">
        <v>6.7000000000000004E-2</v>
      </c>
      <c r="E156" s="20">
        <f>+'M.O 2020'!B7</f>
        <v>243392</v>
      </c>
      <c r="F156" s="21">
        <f t="shared" si="36"/>
        <v>16307.264000000001</v>
      </c>
      <c r="G156" s="21" t="str">
        <f t="shared" si="37"/>
        <v/>
      </c>
      <c r="H156" s="21" t="str">
        <f t="shared" si="38"/>
        <v/>
      </c>
      <c r="I156" s="22" t="str">
        <f t="shared" si="39"/>
        <v/>
      </c>
    </row>
    <row r="157" spans="1:9" ht="15.6" x14ac:dyDescent="0.3">
      <c r="A157" s="19" t="s">
        <v>29</v>
      </c>
      <c r="B157" s="13" t="s">
        <v>115</v>
      </c>
      <c r="C157" s="12" t="s">
        <v>208</v>
      </c>
      <c r="D157" s="524">
        <v>0.05</v>
      </c>
      <c r="E157" s="20">
        <f>+F156</f>
        <v>16307.264000000001</v>
      </c>
      <c r="F157" s="21" t="str">
        <f t="shared" si="36"/>
        <v/>
      </c>
      <c r="G157" s="21" t="str">
        <f t="shared" si="37"/>
        <v/>
      </c>
      <c r="H157" s="21">
        <f t="shared" si="38"/>
        <v>815.36320000000012</v>
      </c>
      <c r="I157" s="22" t="str">
        <f t="shared" si="39"/>
        <v/>
      </c>
    </row>
    <row r="158" spans="1:9" ht="15.6" x14ac:dyDescent="0.3">
      <c r="A158" s="19"/>
      <c r="B158" s="488"/>
      <c r="C158" s="12"/>
      <c r="D158" s="523"/>
      <c r="E158" s="20"/>
      <c r="F158" s="21" t="str">
        <f t="shared" si="36"/>
        <v/>
      </c>
      <c r="G158" s="21" t="str">
        <f t="shared" si="37"/>
        <v/>
      </c>
      <c r="H158" s="21" t="str">
        <f t="shared" si="38"/>
        <v/>
      </c>
      <c r="I158" s="22" t="str">
        <f t="shared" si="39"/>
        <v/>
      </c>
    </row>
    <row r="159" spans="1:9" ht="16.2" thickBot="1" x14ac:dyDescent="0.35">
      <c r="A159" s="23"/>
      <c r="B159" s="24" t="s">
        <v>31</v>
      </c>
      <c r="C159" s="25">
        <f>ROUND(SUM(F159:I159),0)</f>
        <v>17775</v>
      </c>
      <c r="D159" s="516" t="str">
        <f>+C151</f>
        <v>m3</v>
      </c>
      <c r="E159" s="26"/>
      <c r="F159" s="27">
        <f>SUM(F155:F158)</f>
        <v>16959.55456</v>
      </c>
      <c r="G159" s="27">
        <f>SUM(G155:G158)</f>
        <v>0</v>
      </c>
      <c r="H159" s="27">
        <f>SUM(H155:H158)</f>
        <v>815.36320000000012</v>
      </c>
      <c r="I159" s="28">
        <f>SUM(I155:I158)</f>
        <v>0</v>
      </c>
    </row>
    <row r="160" spans="1:9" ht="15.6" thickTop="1" thickBot="1" x14ac:dyDescent="0.35"/>
    <row r="161" spans="1:9" ht="16.2" thickTop="1" x14ac:dyDescent="0.3">
      <c r="A161" s="941" t="s">
        <v>35</v>
      </c>
      <c r="B161" s="942"/>
      <c r="C161" s="943" t="s">
        <v>219</v>
      </c>
      <c r="D161" s="944"/>
      <c r="E161" s="944"/>
      <c r="F161" s="944"/>
      <c r="G161" s="944"/>
      <c r="H161" s="944"/>
      <c r="I161" s="945"/>
    </row>
    <row r="162" spans="1:9" ht="15.6" x14ac:dyDescent="0.3">
      <c r="A162" s="946" t="s">
        <v>12</v>
      </c>
      <c r="B162" s="947"/>
      <c r="C162" s="948" t="s">
        <v>220</v>
      </c>
      <c r="D162" s="949"/>
      <c r="E162" s="949"/>
      <c r="F162" s="949"/>
      <c r="G162" s="949"/>
      <c r="H162" s="949"/>
      <c r="I162" s="950"/>
    </row>
    <row r="163" spans="1:9" ht="15.6" x14ac:dyDescent="0.3">
      <c r="A163" s="946" t="s">
        <v>13</v>
      </c>
      <c r="B163" s="947"/>
      <c r="C163" s="948" t="s">
        <v>216</v>
      </c>
      <c r="D163" s="949"/>
      <c r="E163" s="949"/>
      <c r="F163" s="949"/>
      <c r="G163" s="949"/>
      <c r="H163" s="949"/>
      <c r="I163" s="950"/>
    </row>
    <row r="164" spans="1:9" ht="15.6" x14ac:dyDescent="0.3">
      <c r="A164" s="863" t="s">
        <v>14</v>
      </c>
      <c r="B164" s="864" t="s">
        <v>15</v>
      </c>
      <c r="C164" s="864" t="s">
        <v>16</v>
      </c>
      <c r="D164" s="866" t="s">
        <v>17</v>
      </c>
      <c r="E164" s="868" t="s">
        <v>18</v>
      </c>
      <c r="F164" s="955" t="s">
        <v>19</v>
      </c>
      <c r="G164" s="956"/>
      <c r="H164" s="956"/>
      <c r="I164" s="957"/>
    </row>
    <row r="165" spans="1:9" ht="31.8" thickBot="1" x14ac:dyDescent="0.35">
      <c r="A165" s="951"/>
      <c r="B165" s="952"/>
      <c r="C165" s="952"/>
      <c r="D165" s="953"/>
      <c r="E165" s="954"/>
      <c r="F165" s="480" t="s">
        <v>20</v>
      </c>
      <c r="G165" s="480" t="s">
        <v>21</v>
      </c>
      <c r="H165" s="480" t="s">
        <v>22</v>
      </c>
      <c r="I165" s="14" t="s">
        <v>23</v>
      </c>
    </row>
    <row r="166" spans="1:9" ht="16.8" thickTop="1" thickBot="1" x14ac:dyDescent="0.35">
      <c r="A166" s="9"/>
      <c r="B166" s="9"/>
      <c r="C166" s="9"/>
      <c r="D166" s="513"/>
      <c r="E166" s="10"/>
      <c r="F166" s="9"/>
      <c r="G166" s="9"/>
      <c r="H166" s="9"/>
      <c r="I166" s="9"/>
    </row>
    <row r="167" spans="1:9" ht="15.75" customHeight="1" thickTop="1" x14ac:dyDescent="0.3">
      <c r="A167" s="19" t="s">
        <v>24</v>
      </c>
      <c r="B167" s="13" t="s">
        <v>27</v>
      </c>
      <c r="C167" s="12" t="s">
        <v>208</v>
      </c>
      <c r="D167" s="524">
        <v>0.04</v>
      </c>
      <c r="E167" s="20">
        <f>+F168</f>
        <v>23122.240000000002</v>
      </c>
      <c r="F167" s="21">
        <f t="shared" ref="F167:F170" si="40">IF(A167="MO",D167*E167,"")</f>
        <v>924.88960000000009</v>
      </c>
      <c r="G167" s="21" t="str">
        <f t="shared" ref="G167:G170" si="41">IF(A167="MA",D167*E167,"")</f>
        <v/>
      </c>
      <c r="H167" s="21" t="str">
        <f t="shared" ref="H167:H170" si="42">IF(A167="HE",D167*E167,"")</f>
        <v/>
      </c>
      <c r="I167" s="22" t="str">
        <f t="shared" ref="I167:I170" si="43">IF(A167="OT",D167*E167,"")</f>
        <v/>
      </c>
    </row>
    <row r="168" spans="1:9" ht="15.6" x14ac:dyDescent="0.3">
      <c r="A168" s="19" t="s">
        <v>24</v>
      </c>
      <c r="B168" s="13" t="s">
        <v>221</v>
      </c>
      <c r="C168" s="12" t="s">
        <v>36</v>
      </c>
      <c r="D168" s="523">
        <v>9.5000000000000001E-2</v>
      </c>
      <c r="E168" s="20">
        <f>+'M.O 2020'!B7</f>
        <v>243392</v>
      </c>
      <c r="F168" s="21">
        <f t="shared" si="40"/>
        <v>23122.240000000002</v>
      </c>
      <c r="G168" s="21" t="str">
        <f t="shared" si="41"/>
        <v/>
      </c>
      <c r="H168" s="21" t="str">
        <f t="shared" si="42"/>
        <v/>
      </c>
      <c r="I168" s="22" t="str">
        <f t="shared" si="43"/>
        <v/>
      </c>
    </row>
    <row r="169" spans="1:9" ht="15.6" x14ac:dyDescent="0.3">
      <c r="A169" s="19" t="s">
        <v>29</v>
      </c>
      <c r="B169" s="13" t="s">
        <v>115</v>
      </c>
      <c r="C169" s="12" t="s">
        <v>208</v>
      </c>
      <c r="D169" s="524">
        <v>0.05</v>
      </c>
      <c r="E169" s="20">
        <f>+F168</f>
        <v>23122.240000000002</v>
      </c>
      <c r="F169" s="21" t="str">
        <f t="shared" si="40"/>
        <v/>
      </c>
      <c r="G169" s="21" t="str">
        <f t="shared" si="41"/>
        <v/>
      </c>
      <c r="H169" s="21">
        <f t="shared" si="42"/>
        <v>1156.1120000000001</v>
      </c>
      <c r="I169" s="22" t="str">
        <f t="shared" si="43"/>
        <v/>
      </c>
    </row>
    <row r="170" spans="1:9" ht="15.6" x14ac:dyDescent="0.3">
      <c r="A170" s="19"/>
      <c r="B170" s="488"/>
      <c r="C170" s="12"/>
      <c r="D170" s="523"/>
      <c r="E170" s="20"/>
      <c r="F170" s="21" t="str">
        <f t="shared" si="40"/>
        <v/>
      </c>
      <c r="G170" s="21" t="str">
        <f t="shared" si="41"/>
        <v/>
      </c>
      <c r="H170" s="21" t="str">
        <f t="shared" si="42"/>
        <v/>
      </c>
      <c r="I170" s="22" t="str">
        <f t="shared" si="43"/>
        <v/>
      </c>
    </row>
    <row r="171" spans="1:9" ht="16.2" thickBot="1" x14ac:dyDescent="0.35">
      <c r="A171" s="23"/>
      <c r="B171" s="24" t="s">
        <v>31</v>
      </c>
      <c r="C171" s="25">
        <f>ROUND(SUM(F171:I171),0)</f>
        <v>25203</v>
      </c>
      <c r="D171" s="516" t="str">
        <f>+C163</f>
        <v>m3</v>
      </c>
      <c r="E171" s="26"/>
      <c r="F171" s="27">
        <f>SUM(F167:F170)</f>
        <v>24047.1296</v>
      </c>
      <c r="G171" s="27">
        <f>SUM(G167:G170)</f>
        <v>0</v>
      </c>
      <c r="H171" s="27">
        <f>SUM(H167:H170)</f>
        <v>1156.1120000000001</v>
      </c>
      <c r="I171" s="28">
        <f>SUM(I167:I170)</f>
        <v>0</v>
      </c>
    </row>
    <row r="172" spans="1:9" ht="16.8" thickTop="1" thickBot="1" x14ac:dyDescent="0.35">
      <c r="A172" s="250"/>
      <c r="B172" s="250"/>
      <c r="C172" s="251"/>
      <c r="D172" s="252"/>
      <c r="E172" s="253"/>
      <c r="F172" s="254"/>
      <c r="G172" s="254"/>
      <c r="H172" s="254"/>
      <c r="I172" s="254"/>
    </row>
    <row r="173" spans="1:9" ht="16.2" thickTop="1" x14ac:dyDescent="0.3">
      <c r="A173" s="941" t="s">
        <v>35</v>
      </c>
      <c r="B173" s="942"/>
      <c r="C173" s="943" t="s">
        <v>428</v>
      </c>
      <c r="D173" s="944"/>
      <c r="E173" s="944"/>
      <c r="F173" s="944"/>
      <c r="G173" s="944"/>
      <c r="H173" s="944"/>
      <c r="I173" s="945"/>
    </row>
    <row r="174" spans="1:9" ht="30.75" customHeight="1" x14ac:dyDescent="0.3">
      <c r="A174" s="946" t="s">
        <v>12</v>
      </c>
      <c r="B174" s="947"/>
      <c r="C174" s="948" t="s">
        <v>429</v>
      </c>
      <c r="D174" s="949"/>
      <c r="E174" s="949"/>
      <c r="F174" s="949"/>
      <c r="G174" s="949"/>
      <c r="H174" s="949"/>
      <c r="I174" s="950"/>
    </row>
    <row r="175" spans="1:9" ht="15.6" x14ac:dyDescent="0.3">
      <c r="A175" s="946" t="s">
        <v>13</v>
      </c>
      <c r="B175" s="947"/>
      <c r="C175" s="948" t="s">
        <v>216</v>
      </c>
      <c r="D175" s="949"/>
      <c r="E175" s="949"/>
      <c r="F175" s="949"/>
      <c r="G175" s="949"/>
      <c r="H175" s="949"/>
      <c r="I175" s="950"/>
    </row>
    <row r="176" spans="1:9" ht="15.6" x14ac:dyDescent="0.3">
      <c r="A176" s="863" t="s">
        <v>14</v>
      </c>
      <c r="B176" s="864" t="s">
        <v>15</v>
      </c>
      <c r="C176" s="864" t="s">
        <v>16</v>
      </c>
      <c r="D176" s="866" t="s">
        <v>17</v>
      </c>
      <c r="E176" s="868" t="s">
        <v>18</v>
      </c>
      <c r="F176" s="955" t="s">
        <v>19</v>
      </c>
      <c r="G176" s="956"/>
      <c r="H176" s="956"/>
      <c r="I176" s="957"/>
    </row>
    <row r="177" spans="1:9" ht="31.8" thickBot="1" x14ac:dyDescent="0.35">
      <c r="A177" s="951"/>
      <c r="B177" s="952"/>
      <c r="C177" s="952"/>
      <c r="D177" s="953"/>
      <c r="E177" s="954"/>
      <c r="F177" s="480" t="s">
        <v>20</v>
      </c>
      <c r="G177" s="480" t="s">
        <v>21</v>
      </c>
      <c r="H177" s="480" t="s">
        <v>22</v>
      </c>
      <c r="I177" s="14" t="s">
        <v>23</v>
      </c>
    </row>
    <row r="178" spans="1:9" ht="16.8" thickTop="1" thickBot="1" x14ac:dyDescent="0.35">
      <c r="A178" s="9"/>
      <c r="B178" s="9"/>
      <c r="C178" s="9"/>
      <c r="D178" s="513"/>
      <c r="E178" s="10"/>
      <c r="F178" s="9"/>
      <c r="G178" s="9"/>
      <c r="H178" s="9"/>
      <c r="I178" s="9"/>
    </row>
    <row r="179" spans="1:9" ht="16.2" thickTop="1" x14ac:dyDescent="0.3">
      <c r="A179" s="19" t="s">
        <v>24</v>
      </c>
      <c r="B179" s="13" t="s">
        <v>27</v>
      </c>
      <c r="C179" s="12" t="s">
        <v>208</v>
      </c>
      <c r="D179" s="524">
        <v>0.04</v>
      </c>
      <c r="E179" s="20">
        <f>+F180</f>
        <v>46525.440000000002</v>
      </c>
      <c r="F179" s="21">
        <f t="shared" ref="F179:F182" si="44">IF(A179="MO",D179*E179,"")</f>
        <v>1861.0176000000001</v>
      </c>
      <c r="G179" s="21" t="str">
        <f t="shared" ref="G179:G182" si="45">IF(A179="MA",D179*E179,"")</f>
        <v/>
      </c>
      <c r="H179" s="21" t="str">
        <f t="shared" ref="H179:H182" si="46">IF(A179="HE",D179*E179,"")</f>
        <v/>
      </c>
      <c r="I179" s="22" t="str">
        <f t="shared" ref="I179:I182" si="47">IF(A179="OT",D179*E179,"")</f>
        <v/>
      </c>
    </row>
    <row r="180" spans="1:9" ht="15.6" x14ac:dyDescent="0.3">
      <c r="A180" s="19" t="s">
        <v>24</v>
      </c>
      <c r="B180" s="13" t="s">
        <v>430</v>
      </c>
      <c r="C180" s="12" t="s">
        <v>36</v>
      </c>
      <c r="D180" s="523">
        <v>0.13</v>
      </c>
      <c r="E180" s="20">
        <f>+'M.O 2020'!B13</f>
        <v>357888</v>
      </c>
      <c r="F180" s="21">
        <f t="shared" si="44"/>
        <v>46525.440000000002</v>
      </c>
      <c r="G180" s="21" t="str">
        <f t="shared" si="45"/>
        <v/>
      </c>
      <c r="H180" s="21" t="str">
        <f t="shared" si="46"/>
        <v/>
      </c>
      <c r="I180" s="22" t="str">
        <f t="shared" si="47"/>
        <v/>
      </c>
    </row>
    <row r="181" spans="1:9" ht="15.6" x14ac:dyDescent="0.3">
      <c r="A181" s="19" t="s">
        <v>29</v>
      </c>
      <c r="B181" s="13" t="s">
        <v>115</v>
      </c>
      <c r="C181" s="12" t="s">
        <v>208</v>
      </c>
      <c r="D181" s="524">
        <v>0.05</v>
      </c>
      <c r="E181" s="20">
        <f>+F180</f>
        <v>46525.440000000002</v>
      </c>
      <c r="F181" s="21" t="str">
        <f t="shared" si="44"/>
        <v/>
      </c>
      <c r="G181" s="21" t="str">
        <f t="shared" si="45"/>
        <v/>
      </c>
      <c r="H181" s="21">
        <f t="shared" si="46"/>
        <v>2326.2720000000004</v>
      </c>
      <c r="I181" s="22" t="str">
        <f t="shared" si="47"/>
        <v/>
      </c>
    </row>
    <row r="182" spans="1:9" ht="15.6" x14ac:dyDescent="0.3">
      <c r="A182" s="19"/>
      <c r="B182" s="488"/>
      <c r="C182" s="12"/>
      <c r="D182" s="523"/>
      <c r="E182" s="20"/>
      <c r="F182" s="21" t="str">
        <f t="shared" si="44"/>
        <v/>
      </c>
      <c r="G182" s="21" t="str">
        <f t="shared" si="45"/>
        <v/>
      </c>
      <c r="H182" s="21" t="str">
        <f t="shared" si="46"/>
        <v/>
      </c>
      <c r="I182" s="22" t="str">
        <f t="shared" si="47"/>
        <v/>
      </c>
    </row>
    <row r="183" spans="1:9" ht="16.2" thickBot="1" x14ac:dyDescent="0.35">
      <c r="A183" s="23"/>
      <c r="B183" s="24" t="s">
        <v>31</v>
      </c>
      <c r="C183" s="25">
        <f>ROUND(SUM(F183:I183),0)</f>
        <v>50713</v>
      </c>
      <c r="D183" s="516" t="str">
        <f>+C175</f>
        <v>m3</v>
      </c>
      <c r="E183" s="26"/>
      <c r="F183" s="27">
        <f>SUM(F179:F182)</f>
        <v>48386.457600000002</v>
      </c>
      <c r="G183" s="27">
        <f>SUM(G179:G182)</f>
        <v>0</v>
      </c>
      <c r="H183" s="27">
        <f>SUM(H179:H182)</f>
        <v>2326.2720000000004</v>
      </c>
      <c r="I183" s="28">
        <f>SUM(I179:I182)</f>
        <v>0</v>
      </c>
    </row>
    <row r="184" spans="1:9" ht="15.6" thickTop="1" thickBot="1" x14ac:dyDescent="0.35"/>
    <row r="185" spans="1:9" ht="16.2" thickTop="1" x14ac:dyDescent="0.3">
      <c r="A185" s="989" t="s">
        <v>35</v>
      </c>
      <c r="B185" s="990"/>
      <c r="C185" s="991" t="s">
        <v>222</v>
      </c>
      <c r="D185" s="992"/>
      <c r="E185" s="992"/>
      <c r="F185" s="992"/>
      <c r="G185" s="992"/>
      <c r="H185" s="992"/>
      <c r="I185" s="993"/>
    </row>
    <row r="186" spans="1:9" ht="31.5" customHeight="1" x14ac:dyDescent="0.3">
      <c r="A186" s="994" t="s">
        <v>121</v>
      </c>
      <c r="B186" s="995"/>
      <c r="C186" s="969" t="s">
        <v>383</v>
      </c>
      <c r="D186" s="970"/>
      <c r="E186" s="970"/>
      <c r="F186" s="970"/>
      <c r="G186" s="970"/>
      <c r="H186" s="970"/>
      <c r="I186" s="971"/>
    </row>
    <row r="187" spans="1:9" ht="15.6" x14ac:dyDescent="0.3">
      <c r="A187" s="994" t="s">
        <v>13</v>
      </c>
      <c r="B187" s="995"/>
      <c r="C187" s="996" t="s">
        <v>7</v>
      </c>
      <c r="D187" s="997"/>
      <c r="E187" s="997"/>
      <c r="F187" s="997"/>
      <c r="G187" s="997"/>
      <c r="H187" s="997"/>
      <c r="I187" s="998"/>
    </row>
    <row r="188" spans="1:9" ht="15.6" x14ac:dyDescent="0.3">
      <c r="A188" s="999" t="s">
        <v>14</v>
      </c>
      <c r="B188" s="1001" t="s">
        <v>15</v>
      </c>
      <c r="C188" s="1002" t="s">
        <v>16</v>
      </c>
      <c r="D188" s="1004" t="s">
        <v>17</v>
      </c>
      <c r="E188" s="1006" t="s">
        <v>18</v>
      </c>
      <c r="F188" s="1008" t="s">
        <v>19</v>
      </c>
      <c r="G188" s="1009"/>
      <c r="H188" s="1009"/>
      <c r="I188" s="1010"/>
    </row>
    <row r="189" spans="1:9" ht="31.8" thickBot="1" x14ac:dyDescent="0.35">
      <c r="A189" s="1000"/>
      <c r="B189" s="1002"/>
      <c r="C189" s="1003"/>
      <c r="D189" s="1005"/>
      <c r="E189" s="1007"/>
      <c r="F189" s="483" t="s">
        <v>20</v>
      </c>
      <c r="G189" s="483" t="s">
        <v>21</v>
      </c>
      <c r="H189" s="483" t="s">
        <v>22</v>
      </c>
      <c r="I189" s="76" t="s">
        <v>23</v>
      </c>
    </row>
    <row r="190" spans="1:9" ht="15.75" customHeight="1" thickTop="1" thickBot="1" x14ac:dyDescent="0.35">
      <c r="A190" s="77"/>
      <c r="B190" s="78"/>
      <c r="C190" s="77"/>
      <c r="D190" s="535"/>
      <c r="E190" s="370"/>
      <c r="F190" s="79" t="str">
        <f>IF(A190="MO",D190*E190,"")</f>
        <v/>
      </c>
      <c r="G190" s="79" t="str">
        <f t="shared" ref="G190:G197" si="48">IF(A190="MA",D190*E190,"")</f>
        <v/>
      </c>
      <c r="H190" s="79" t="str">
        <f>IF(A190="HE",D190*E190,"")</f>
        <v/>
      </c>
      <c r="I190" s="79" t="str">
        <f>IF(A190="OT",D190*E190,"")</f>
        <v/>
      </c>
    </row>
    <row r="191" spans="1:9" ht="16.2" thickTop="1" x14ac:dyDescent="0.3">
      <c r="A191" s="80" t="s">
        <v>32</v>
      </c>
      <c r="B191" s="81" t="s">
        <v>122</v>
      </c>
      <c r="C191" s="82" t="s">
        <v>7</v>
      </c>
      <c r="D191" s="529">
        <v>1.2</v>
      </c>
      <c r="E191" s="85">
        <v>92775</v>
      </c>
      <c r="F191" s="83"/>
      <c r="G191" s="83">
        <f t="shared" si="48"/>
        <v>111330</v>
      </c>
      <c r="H191" s="83"/>
      <c r="I191" s="84"/>
    </row>
    <row r="192" spans="1:9" ht="15.6" x14ac:dyDescent="0.3">
      <c r="A192" s="80" t="s">
        <v>24</v>
      </c>
      <c r="B192" s="81" t="s">
        <v>223</v>
      </c>
      <c r="C192" s="82" t="s">
        <v>123</v>
      </c>
      <c r="D192" s="529">
        <v>0.114</v>
      </c>
      <c r="E192" s="20">
        <f>+'M.O 2020'!B5</f>
        <v>121696</v>
      </c>
      <c r="F192" s="83">
        <f t="shared" ref="F192:F197" si="49">IF(A192="MO",D192*E192,"")</f>
        <v>13873.344000000001</v>
      </c>
      <c r="G192" s="83" t="str">
        <f t="shared" si="48"/>
        <v/>
      </c>
      <c r="H192" s="83" t="str">
        <f t="shared" ref="H192:H197" si="50">IF(A192="HE",D192*E192,"")</f>
        <v/>
      </c>
      <c r="I192" s="84" t="str">
        <f t="shared" ref="I192:I197" si="51">IF(A192="OT",D192*E192,"")</f>
        <v/>
      </c>
    </row>
    <row r="193" spans="1:9" ht="15.6" x14ac:dyDescent="0.3">
      <c r="A193" s="375" t="s">
        <v>29</v>
      </c>
      <c r="B193" s="377" t="s">
        <v>304</v>
      </c>
      <c r="C193" s="383" t="s">
        <v>289</v>
      </c>
      <c r="D193" s="520">
        <f>+D191*1.8</f>
        <v>2.16</v>
      </c>
      <c r="E193" s="321">
        <f>+$C$990</f>
        <v>8250.6174612024897</v>
      </c>
      <c r="F193" s="322" t="str">
        <f t="shared" si="49"/>
        <v/>
      </c>
      <c r="G193" s="322"/>
      <c r="H193" s="322">
        <f t="shared" si="50"/>
        <v>17821.33371619738</v>
      </c>
      <c r="I193" s="323" t="str">
        <f>IF(A193="OT",D193*E193,"")</f>
        <v/>
      </c>
    </row>
    <row r="194" spans="1:9" ht="15.6" x14ac:dyDescent="0.3">
      <c r="A194" s="80" t="s">
        <v>26</v>
      </c>
      <c r="B194" s="81" t="s">
        <v>124</v>
      </c>
      <c r="C194" s="82" t="s">
        <v>28</v>
      </c>
      <c r="D194" s="514">
        <v>0.04</v>
      </c>
      <c r="E194" s="85">
        <f>+F192</f>
        <v>13873.344000000001</v>
      </c>
      <c r="F194" s="83" t="str">
        <f t="shared" si="49"/>
        <v/>
      </c>
      <c r="G194" s="83" t="str">
        <f t="shared" si="48"/>
        <v/>
      </c>
      <c r="H194" s="83" t="str">
        <f t="shared" si="50"/>
        <v/>
      </c>
      <c r="I194" s="84">
        <f t="shared" si="51"/>
        <v>554.93376000000001</v>
      </c>
    </row>
    <row r="195" spans="1:9" ht="15.6" x14ac:dyDescent="0.3">
      <c r="A195" s="80" t="s">
        <v>29</v>
      </c>
      <c r="B195" s="81" t="s">
        <v>125</v>
      </c>
      <c r="C195" s="82" t="s">
        <v>28</v>
      </c>
      <c r="D195" s="514">
        <v>0.05</v>
      </c>
      <c r="E195" s="85">
        <f>+F192</f>
        <v>13873.344000000001</v>
      </c>
      <c r="F195" s="83" t="str">
        <f t="shared" si="49"/>
        <v/>
      </c>
      <c r="G195" s="83" t="str">
        <f t="shared" si="48"/>
        <v/>
      </c>
      <c r="H195" s="83">
        <f t="shared" si="50"/>
        <v>693.66720000000009</v>
      </c>
      <c r="I195" s="84" t="str">
        <f t="shared" si="51"/>
        <v/>
      </c>
    </row>
    <row r="196" spans="1:9" ht="15.6" x14ac:dyDescent="0.3">
      <c r="A196" s="80"/>
      <c r="B196" s="81"/>
      <c r="C196" s="82"/>
      <c r="D196" s="529"/>
      <c r="E196" s="85"/>
      <c r="F196" s="83" t="str">
        <f t="shared" si="49"/>
        <v/>
      </c>
      <c r="G196" s="83" t="str">
        <f t="shared" si="48"/>
        <v/>
      </c>
      <c r="H196" s="83" t="str">
        <f t="shared" si="50"/>
        <v/>
      </c>
      <c r="I196" s="84" t="str">
        <f t="shared" si="51"/>
        <v/>
      </c>
    </row>
    <row r="197" spans="1:9" ht="15.6" x14ac:dyDescent="0.3">
      <c r="A197" s="80"/>
      <c r="B197" s="81"/>
      <c r="C197" s="82"/>
      <c r="D197" s="529"/>
      <c r="E197" s="85"/>
      <c r="F197" s="83" t="str">
        <f t="shared" si="49"/>
        <v/>
      </c>
      <c r="G197" s="83" t="str">
        <f t="shared" si="48"/>
        <v/>
      </c>
      <c r="H197" s="83" t="str">
        <f t="shared" si="50"/>
        <v/>
      </c>
      <c r="I197" s="84" t="str">
        <f t="shared" si="51"/>
        <v/>
      </c>
    </row>
    <row r="198" spans="1:9" ht="16.2" thickBot="1" x14ac:dyDescent="0.35">
      <c r="A198" s="71"/>
      <c r="B198" s="72" t="s">
        <v>31</v>
      </c>
      <c r="C198" s="73">
        <f>ROUND(SUM(F198:I198),0)</f>
        <v>144273</v>
      </c>
      <c r="D198" s="533" t="str">
        <f>+C187</f>
        <v>m3</v>
      </c>
      <c r="E198" s="86"/>
      <c r="F198" s="74">
        <f>SUM(F191:F197)</f>
        <v>13873.344000000001</v>
      </c>
      <c r="G198" s="74">
        <f>SUM(G191:G197)</f>
        <v>111330</v>
      </c>
      <c r="H198" s="74">
        <f>SUM(H191:H197)</f>
        <v>18515.000916197379</v>
      </c>
      <c r="I198" s="75">
        <f>SUM(I191:I197)</f>
        <v>554.93376000000001</v>
      </c>
    </row>
    <row r="199" spans="1:9" ht="16.8" thickTop="1" thickBot="1" x14ac:dyDescent="0.35">
      <c r="A199" s="250"/>
      <c r="B199" s="250"/>
      <c r="C199" s="251"/>
      <c r="D199" s="252"/>
      <c r="E199" s="253"/>
      <c r="F199" s="254"/>
      <c r="G199" s="254"/>
      <c r="H199" s="254"/>
      <c r="I199" s="254"/>
    </row>
    <row r="200" spans="1:9" ht="16.2" thickTop="1" x14ac:dyDescent="0.3">
      <c r="A200" s="854" t="s">
        <v>35</v>
      </c>
      <c r="B200" s="855"/>
      <c r="C200" s="943" t="s">
        <v>224</v>
      </c>
      <c r="D200" s="944"/>
      <c r="E200" s="944"/>
      <c r="F200" s="944"/>
      <c r="G200" s="944"/>
      <c r="H200" s="944"/>
      <c r="I200" s="945"/>
    </row>
    <row r="201" spans="1:9" ht="15.6" x14ac:dyDescent="0.3">
      <c r="A201" s="858" t="s">
        <v>12</v>
      </c>
      <c r="B201" s="859"/>
      <c r="C201" s="948" t="s">
        <v>472</v>
      </c>
      <c r="D201" s="949"/>
      <c r="E201" s="949"/>
      <c r="F201" s="949"/>
      <c r="G201" s="949"/>
      <c r="H201" s="949"/>
      <c r="I201" s="950"/>
    </row>
    <row r="202" spans="1:9" ht="52.5" customHeight="1" x14ac:dyDescent="0.3">
      <c r="A202" s="858" t="s">
        <v>13</v>
      </c>
      <c r="B202" s="859"/>
      <c r="C202" s="948" t="s">
        <v>216</v>
      </c>
      <c r="D202" s="949"/>
      <c r="E202" s="949"/>
      <c r="F202" s="949"/>
      <c r="G202" s="949"/>
      <c r="H202" s="949"/>
      <c r="I202" s="950"/>
    </row>
    <row r="203" spans="1:9" ht="15.6" x14ac:dyDescent="0.3">
      <c r="A203" s="862" t="s">
        <v>14</v>
      </c>
      <c r="B203" s="848" t="s">
        <v>15</v>
      </c>
      <c r="C203" s="864" t="s">
        <v>16</v>
      </c>
      <c r="D203" s="866" t="s">
        <v>17</v>
      </c>
      <c r="E203" s="868" t="s">
        <v>18</v>
      </c>
      <c r="F203" s="955" t="s">
        <v>19</v>
      </c>
      <c r="G203" s="956"/>
      <c r="H203" s="956"/>
      <c r="I203" s="957"/>
    </row>
    <row r="204" spans="1:9" ht="31.8" thickBot="1" x14ac:dyDescent="0.35">
      <c r="A204" s="863"/>
      <c r="B204" s="864"/>
      <c r="C204" s="952"/>
      <c r="D204" s="953"/>
      <c r="E204" s="954"/>
      <c r="F204" s="480" t="s">
        <v>20</v>
      </c>
      <c r="G204" s="480" t="s">
        <v>21</v>
      </c>
      <c r="H204" s="480" t="s">
        <v>22</v>
      </c>
      <c r="I204" s="14" t="s">
        <v>23</v>
      </c>
    </row>
    <row r="205" spans="1:9" ht="16.8" thickTop="1" thickBot="1" x14ac:dyDescent="0.35">
      <c r="A205" s="87"/>
      <c r="B205" s="87"/>
      <c r="C205" s="87"/>
      <c r="D205" s="536"/>
      <c r="E205" s="88"/>
      <c r="F205" s="87"/>
      <c r="G205" s="87"/>
      <c r="H205" s="87"/>
      <c r="I205" s="87"/>
    </row>
    <row r="206" spans="1:9" ht="16.2" thickTop="1" x14ac:dyDescent="0.3">
      <c r="A206" s="89" t="s">
        <v>24</v>
      </c>
      <c r="B206" s="90" t="s">
        <v>221</v>
      </c>
      <c r="C206" s="91" t="s">
        <v>25</v>
      </c>
      <c r="D206" s="537">
        <v>0.05</v>
      </c>
      <c r="E206" s="20">
        <f>+'M.O 2020'!B7</f>
        <v>243392</v>
      </c>
      <c r="F206" s="17">
        <f>IF(A206="MO",D206*E206,"")</f>
        <v>12169.6</v>
      </c>
      <c r="G206" s="17" t="str">
        <f>IF(A206="MA",D206*E206,"")</f>
        <v/>
      </c>
      <c r="H206" s="17" t="str">
        <f>IF(A206="HE",D206*E206,"")</f>
        <v/>
      </c>
      <c r="I206" s="18" t="str">
        <f>IF(A206="OT",D206*E206,"")</f>
        <v/>
      </c>
    </row>
    <row r="207" spans="1:9" ht="15.6" x14ac:dyDescent="0.3">
      <c r="A207" s="19" t="s">
        <v>24</v>
      </c>
      <c r="B207" s="13" t="s">
        <v>27</v>
      </c>
      <c r="C207" s="12" t="s">
        <v>38</v>
      </c>
      <c r="D207" s="524">
        <v>0.04</v>
      </c>
      <c r="E207" s="20">
        <f>+F206</f>
        <v>12169.6</v>
      </c>
      <c r="F207" s="21">
        <f>IF(A207="MO",D207*E207,"")</f>
        <v>486.78400000000005</v>
      </c>
      <c r="G207" s="21" t="str">
        <f>IF(A207="MA",D207*E207,"")</f>
        <v/>
      </c>
      <c r="H207" s="21" t="str">
        <f>IF(A207="HE",D207*E207,"")</f>
        <v/>
      </c>
      <c r="I207" s="22" t="str">
        <f>IF(A207="OT",D207*E207,"")</f>
        <v/>
      </c>
    </row>
    <row r="208" spans="1:9" ht="15.6" x14ac:dyDescent="0.3">
      <c r="A208" s="19" t="s">
        <v>29</v>
      </c>
      <c r="B208" s="13" t="s">
        <v>225</v>
      </c>
      <c r="C208" s="12" t="s">
        <v>126</v>
      </c>
      <c r="D208" s="523">
        <v>0.05</v>
      </c>
      <c r="E208" s="20">
        <v>39394</v>
      </c>
      <c r="F208" s="21" t="str">
        <f t="shared" ref="F208:F209" si="52">IF(A208="MO",D208*E208,"")</f>
        <v/>
      </c>
      <c r="G208" s="21"/>
      <c r="H208" s="21">
        <f t="shared" ref="H208:H209" si="53">IF(A208="HE",D208*E208,"")</f>
        <v>1969.7</v>
      </c>
      <c r="I208" s="22" t="str">
        <f>IF(A208="OT",D208*E208,"")</f>
        <v/>
      </c>
    </row>
    <row r="209" spans="1:9" ht="15.6" x14ac:dyDescent="0.3">
      <c r="A209" s="19" t="s">
        <v>29</v>
      </c>
      <c r="B209" s="13" t="s">
        <v>30</v>
      </c>
      <c r="C209" s="12" t="s">
        <v>38</v>
      </c>
      <c r="D209" s="524">
        <v>0.05</v>
      </c>
      <c r="E209" s="20">
        <f>+F206</f>
        <v>12169.6</v>
      </c>
      <c r="F209" s="21" t="str">
        <f t="shared" si="52"/>
        <v/>
      </c>
      <c r="G209" s="21" t="str">
        <f>IF(A209="MA",D209*E209,"")</f>
        <v/>
      </c>
      <c r="H209" s="21">
        <f t="shared" si="53"/>
        <v>608.48</v>
      </c>
      <c r="I209" s="22" t="str">
        <f>IF(A209="OT",D209*E209,"")</f>
        <v/>
      </c>
    </row>
    <row r="210" spans="1:9" ht="15.6" x14ac:dyDescent="0.3">
      <c r="A210" s="19"/>
      <c r="B210" s="13"/>
      <c r="C210" s="12"/>
      <c r="D210" s="523"/>
      <c r="E210" s="20"/>
      <c r="F210" s="21" t="str">
        <f>IF(A210="MO",D210*E210,"")</f>
        <v/>
      </c>
      <c r="G210" s="21" t="str">
        <f>IF(A210="MA",D210*E210,"")</f>
        <v/>
      </c>
      <c r="H210" s="21" t="str">
        <f>IF(A210="HE",D210*E210,"")</f>
        <v/>
      </c>
      <c r="I210" s="22" t="str">
        <f>IF(A210="OT",D210*E210,"")</f>
        <v/>
      </c>
    </row>
    <row r="211" spans="1:9" ht="16.2" thickBot="1" x14ac:dyDescent="0.35">
      <c r="A211" s="23"/>
      <c r="B211" s="24" t="s">
        <v>31</v>
      </c>
      <c r="C211" s="25">
        <f>ROUND(SUM(F211:I211),0)</f>
        <v>15235</v>
      </c>
      <c r="D211" s="516" t="str">
        <f>C202</f>
        <v>m3</v>
      </c>
      <c r="E211" s="26"/>
      <c r="F211" s="27">
        <f>SUM(F206:F210)</f>
        <v>12656.384</v>
      </c>
      <c r="G211" s="27">
        <f>SUM(G206:G210)</f>
        <v>0</v>
      </c>
      <c r="H211" s="27">
        <f>SUM(H206:H210)</f>
        <v>2578.1800000000003</v>
      </c>
      <c r="I211" s="28">
        <f>SUM(I206:I210)</f>
        <v>0</v>
      </c>
    </row>
    <row r="212" spans="1:9" ht="16.8" thickTop="1" thickBot="1" x14ac:dyDescent="0.35">
      <c r="A212" s="250"/>
      <c r="B212" s="250"/>
      <c r="C212" s="251"/>
      <c r="D212" s="252"/>
      <c r="E212" s="253"/>
      <c r="F212" s="254"/>
      <c r="G212" s="254"/>
      <c r="H212" s="254"/>
      <c r="I212" s="254"/>
    </row>
    <row r="213" spans="1:9" ht="16.2" thickTop="1" x14ac:dyDescent="0.3">
      <c r="A213" s="854" t="s">
        <v>39</v>
      </c>
      <c r="B213" s="855"/>
      <c r="C213" s="856" t="s">
        <v>226</v>
      </c>
      <c r="D213" s="856"/>
      <c r="E213" s="856"/>
      <c r="F213" s="856"/>
      <c r="G213" s="856"/>
      <c r="H213" s="856"/>
      <c r="I213" s="857"/>
    </row>
    <row r="214" spans="1:9" ht="48" customHeight="1" x14ac:dyDescent="0.3">
      <c r="A214" s="858" t="s">
        <v>12</v>
      </c>
      <c r="B214" s="859"/>
      <c r="C214" s="860" t="s">
        <v>384</v>
      </c>
      <c r="D214" s="860"/>
      <c r="E214" s="860"/>
      <c r="F214" s="860"/>
      <c r="G214" s="860"/>
      <c r="H214" s="860"/>
      <c r="I214" s="861"/>
    </row>
    <row r="215" spans="1:9" ht="15.6" x14ac:dyDescent="0.3">
      <c r="A215" s="858" t="s">
        <v>13</v>
      </c>
      <c r="B215" s="859"/>
      <c r="C215" s="860" t="s">
        <v>7</v>
      </c>
      <c r="D215" s="860"/>
      <c r="E215" s="860"/>
      <c r="F215" s="860"/>
      <c r="G215" s="860"/>
      <c r="H215" s="860"/>
      <c r="I215" s="861"/>
    </row>
    <row r="216" spans="1:9" ht="15.6" x14ac:dyDescent="0.3">
      <c r="A216" s="862" t="s">
        <v>14</v>
      </c>
      <c r="B216" s="848" t="s">
        <v>15</v>
      </c>
      <c r="C216" s="848" t="s">
        <v>16</v>
      </c>
      <c r="D216" s="865" t="s">
        <v>17</v>
      </c>
      <c r="E216" s="867" t="s">
        <v>18</v>
      </c>
      <c r="F216" s="848" t="s">
        <v>19</v>
      </c>
      <c r="G216" s="848"/>
      <c r="H216" s="848"/>
      <c r="I216" s="869"/>
    </row>
    <row r="217" spans="1:9" ht="30.75" customHeight="1" thickBot="1" x14ac:dyDescent="0.35">
      <c r="A217" s="863"/>
      <c r="B217" s="864"/>
      <c r="C217" s="864"/>
      <c r="D217" s="866"/>
      <c r="E217" s="868"/>
      <c r="F217" s="480" t="s">
        <v>20</v>
      </c>
      <c r="G217" s="480" t="s">
        <v>21</v>
      </c>
      <c r="H217" s="480" t="s">
        <v>22</v>
      </c>
      <c r="I217" s="14" t="s">
        <v>23</v>
      </c>
    </row>
    <row r="218" spans="1:9" ht="15.75" customHeight="1" thickTop="1" thickBot="1" x14ac:dyDescent="0.35">
      <c r="A218" s="9"/>
      <c r="B218" s="9"/>
      <c r="C218" s="9"/>
      <c r="D218" s="513"/>
      <c r="E218" s="10"/>
      <c r="F218" s="9"/>
      <c r="G218" s="9"/>
      <c r="H218" s="9"/>
      <c r="I218" s="9"/>
    </row>
    <row r="219" spans="1:9" ht="16.2" thickTop="1" x14ac:dyDescent="0.3">
      <c r="A219" s="15" t="s">
        <v>24</v>
      </c>
      <c r="B219" s="488" t="s">
        <v>227</v>
      </c>
      <c r="C219" s="16" t="s">
        <v>25</v>
      </c>
      <c r="D219" s="515">
        <v>0.156</v>
      </c>
      <c r="E219" s="20">
        <f>+'M.O 2020'!B4</f>
        <v>60848</v>
      </c>
      <c r="F219" s="17">
        <f>IF(A219="MO",D219*E219,"")</f>
        <v>9492.2880000000005</v>
      </c>
      <c r="G219" s="17" t="str">
        <f>IF(A219="MA",D219*E219,"")</f>
        <v/>
      </c>
      <c r="H219" s="17" t="str">
        <f>IF(A219="HE",D219*E219,"")</f>
        <v/>
      </c>
      <c r="I219" s="18" t="str">
        <f>IF(A219="OT",D219*E219,"")</f>
        <v/>
      </c>
    </row>
    <row r="220" spans="1:9" ht="15.6" x14ac:dyDescent="0.3">
      <c r="A220" s="15" t="s">
        <v>24</v>
      </c>
      <c r="B220" s="11" t="s">
        <v>27</v>
      </c>
      <c r="C220" s="16" t="s">
        <v>28</v>
      </c>
      <c r="D220" s="514">
        <v>0.04</v>
      </c>
      <c r="E220" s="20">
        <f>+F219</f>
        <v>9492.2880000000005</v>
      </c>
      <c r="F220" s="21">
        <f>IF(A220="MO",D220*E220,"")</f>
        <v>379.69152000000003</v>
      </c>
      <c r="G220" s="21" t="str">
        <f>IF(A220="MA",D220*E220,"")</f>
        <v/>
      </c>
      <c r="H220" s="21" t="str">
        <f>IF(A220="HE",D220*E220,"")</f>
        <v/>
      </c>
      <c r="I220" s="22" t="str">
        <f>IF(A220="OT",D220*E220,"")</f>
        <v/>
      </c>
    </row>
    <row r="221" spans="1:9" ht="15.6" x14ac:dyDescent="0.3">
      <c r="A221" s="15" t="s">
        <v>26</v>
      </c>
      <c r="B221" s="11" t="s">
        <v>228</v>
      </c>
      <c r="C221" s="16" t="s">
        <v>7</v>
      </c>
      <c r="D221" s="523">
        <v>1.3</v>
      </c>
      <c r="E221" s="20">
        <v>5000</v>
      </c>
      <c r="F221" s="21" t="str">
        <f>IF(A221="MO",D221*E221,"")</f>
        <v/>
      </c>
      <c r="G221" s="21" t="str">
        <f>IF(A221="MA",D221*E221,"")</f>
        <v/>
      </c>
      <c r="H221" s="21" t="str">
        <f>IF(A221="HE",D221*E221,"")</f>
        <v/>
      </c>
      <c r="I221" s="22">
        <f>IF(A221="OT",D221*E221,"")</f>
        <v>6500</v>
      </c>
    </row>
    <row r="222" spans="1:9" ht="15.6" x14ac:dyDescent="0.3">
      <c r="A222" s="19" t="s">
        <v>29</v>
      </c>
      <c r="B222" s="13" t="s">
        <v>30</v>
      </c>
      <c r="C222" s="12" t="s">
        <v>28</v>
      </c>
      <c r="D222" s="524">
        <v>0.05</v>
      </c>
      <c r="E222" s="20">
        <f>+F219</f>
        <v>9492.2880000000005</v>
      </c>
      <c r="F222" s="21" t="str">
        <f>IF(A222="MO",D222*E222,"")</f>
        <v/>
      </c>
      <c r="G222" s="21" t="str">
        <f>IF(A222="MA",D222*E222,"")</f>
        <v/>
      </c>
      <c r="H222" s="21">
        <f>IF(A222="HE",D222*E222,"")</f>
        <v>474.61440000000005</v>
      </c>
      <c r="I222" s="22" t="str">
        <f>IF(A222="OT",D222*E222,"")</f>
        <v/>
      </c>
    </row>
    <row r="223" spans="1:9" ht="15.6" x14ac:dyDescent="0.3">
      <c r="A223" s="375" t="s">
        <v>29</v>
      </c>
      <c r="B223" s="377" t="s">
        <v>304</v>
      </c>
      <c r="C223" s="383" t="s">
        <v>289</v>
      </c>
      <c r="D223" s="520">
        <v>1.8</v>
      </c>
      <c r="E223" s="321">
        <f>+$C$990</f>
        <v>8250.6174612024897</v>
      </c>
      <c r="F223" s="322" t="str">
        <f t="shared" ref="F223" si="54">IF(A223="MO",D223*E223,"")</f>
        <v/>
      </c>
      <c r="G223" s="322" t="str">
        <f t="shared" ref="G223" si="55">IF(A223="MA",D223*E223,"")</f>
        <v/>
      </c>
      <c r="H223" s="322">
        <f t="shared" ref="H223" si="56">IF(A223="HE",D223*E223,"")</f>
        <v>14851.111430164481</v>
      </c>
      <c r="I223" s="323" t="str">
        <f t="shared" ref="I223" si="57">IF(A223="OT",D223*E223,"")</f>
        <v/>
      </c>
    </row>
    <row r="224" spans="1:9" ht="15.6" x14ac:dyDescent="0.3">
      <c r="A224" s="19" t="s">
        <v>26</v>
      </c>
      <c r="B224" s="13" t="s">
        <v>229</v>
      </c>
      <c r="C224" s="12" t="s">
        <v>120</v>
      </c>
      <c r="D224" s="523">
        <v>15</v>
      </c>
      <c r="E224" s="20">
        <v>1500</v>
      </c>
      <c r="F224" s="21" t="str">
        <f>IF(A224="MO",D224*E224,"")</f>
        <v/>
      </c>
      <c r="G224" s="21" t="str">
        <f>IF(A224="MA",D224*E224,"")</f>
        <v/>
      </c>
      <c r="H224" s="21" t="str">
        <f>IF(A224="HE",D224*E224,"")</f>
        <v/>
      </c>
      <c r="I224" s="22">
        <f>IF(A224="OT",D224*E224,"")</f>
        <v>22500</v>
      </c>
    </row>
    <row r="225" spans="1:9" ht="15.6" x14ac:dyDescent="0.3">
      <c r="A225" s="19"/>
      <c r="B225" s="488"/>
      <c r="C225" s="12"/>
      <c r="D225" s="523"/>
      <c r="E225" s="20"/>
      <c r="F225" s="21" t="str">
        <f>IF(A225="MO",D225*E225,"")</f>
        <v/>
      </c>
      <c r="G225" s="21" t="str">
        <f>IF(A225="MA",D225*E225,"")</f>
        <v/>
      </c>
      <c r="H225" s="21" t="str">
        <f>IF(A225="HE",D225*E225,"")</f>
        <v/>
      </c>
      <c r="I225" s="22" t="str">
        <f>IF(A225="OT",D225*E225,"")</f>
        <v/>
      </c>
    </row>
    <row r="226" spans="1:9" ht="16.2" thickBot="1" x14ac:dyDescent="0.35">
      <c r="A226" s="23"/>
      <c r="B226" s="24" t="s">
        <v>31</v>
      </c>
      <c r="C226" s="25">
        <f>ROUND(SUM(F226:I226),0)</f>
        <v>54198</v>
      </c>
      <c r="D226" s="516" t="str">
        <f>+C215</f>
        <v>m3</v>
      </c>
      <c r="E226" s="26"/>
      <c r="F226" s="27">
        <f>SUM(F219:F225)</f>
        <v>9871.9795200000008</v>
      </c>
      <c r="G226" s="27">
        <f>SUM(G219:G225)</f>
        <v>0</v>
      </c>
      <c r="H226" s="27">
        <f>SUM(H219:H225)</f>
        <v>15325.725830164482</v>
      </c>
      <c r="I226" s="28">
        <f>SUM(I219:I225)</f>
        <v>29000</v>
      </c>
    </row>
    <row r="227" spans="1:9" ht="15.6" thickTop="1" thickBot="1" x14ac:dyDescent="0.35"/>
    <row r="228" spans="1:9" ht="16.2" thickTop="1" x14ac:dyDescent="0.3">
      <c r="A228" s="1011" t="s">
        <v>35</v>
      </c>
      <c r="B228" s="1012"/>
      <c r="C228" s="966" t="s">
        <v>230</v>
      </c>
      <c r="D228" s="967"/>
      <c r="E228" s="967"/>
      <c r="F228" s="967"/>
      <c r="G228" s="967"/>
      <c r="H228" s="967"/>
      <c r="I228" s="968"/>
    </row>
    <row r="229" spans="1:9" ht="31.5" customHeight="1" x14ac:dyDescent="0.3">
      <c r="A229" s="1013" t="s">
        <v>12</v>
      </c>
      <c r="B229" s="1014"/>
      <c r="C229" s="969" t="s">
        <v>473</v>
      </c>
      <c r="D229" s="970"/>
      <c r="E229" s="970"/>
      <c r="F229" s="970"/>
      <c r="G229" s="970"/>
      <c r="H229" s="970"/>
      <c r="I229" s="971"/>
    </row>
    <row r="230" spans="1:9" ht="15.6" x14ac:dyDescent="0.3">
      <c r="A230" s="1013" t="s">
        <v>13</v>
      </c>
      <c r="B230" s="1014"/>
      <c r="C230" s="974" t="s">
        <v>7</v>
      </c>
      <c r="D230" s="975"/>
      <c r="E230" s="975"/>
      <c r="F230" s="975"/>
      <c r="G230" s="975"/>
      <c r="H230" s="975"/>
      <c r="I230" s="976"/>
    </row>
    <row r="231" spans="1:9" ht="15.6" x14ac:dyDescent="0.3">
      <c r="A231" s="977" t="s">
        <v>14</v>
      </c>
      <c r="B231" s="979" t="s">
        <v>15</v>
      </c>
      <c r="C231" s="979" t="s">
        <v>16</v>
      </c>
      <c r="D231" s="982" t="s">
        <v>17</v>
      </c>
      <c r="E231" s="1016" t="s">
        <v>18</v>
      </c>
      <c r="F231" s="986" t="s">
        <v>19</v>
      </c>
      <c r="G231" s="987"/>
      <c r="H231" s="987"/>
      <c r="I231" s="988"/>
    </row>
    <row r="232" spans="1:9" ht="31.8" thickBot="1" x14ac:dyDescent="0.35">
      <c r="A232" s="1015"/>
      <c r="B232" s="981"/>
      <c r="C232" s="981"/>
      <c r="D232" s="983"/>
      <c r="E232" s="1017"/>
      <c r="F232" s="72" t="s">
        <v>20</v>
      </c>
      <c r="G232" s="72" t="s">
        <v>21</v>
      </c>
      <c r="H232" s="72" t="s">
        <v>22</v>
      </c>
      <c r="I232" s="296" t="s">
        <v>23</v>
      </c>
    </row>
    <row r="233" spans="1:9" ht="16.8" thickTop="1" thickBot="1" x14ac:dyDescent="0.35">
      <c r="A233" s="243"/>
      <c r="B233" s="244"/>
      <c r="C233" s="244"/>
      <c r="D233" s="538"/>
      <c r="E233" s="255"/>
      <c r="F233" s="244"/>
      <c r="G233" s="244"/>
      <c r="H233" s="244"/>
      <c r="I233" s="244"/>
    </row>
    <row r="234" spans="1:9" ht="16.2" thickTop="1" x14ac:dyDescent="0.3">
      <c r="A234" s="19" t="s">
        <v>24</v>
      </c>
      <c r="B234" s="11" t="s">
        <v>27</v>
      </c>
      <c r="C234" s="16" t="s">
        <v>28</v>
      </c>
      <c r="D234" s="514">
        <v>0.04</v>
      </c>
      <c r="E234" s="20">
        <f>+F238</f>
        <v>15212</v>
      </c>
      <c r="F234" s="21">
        <f t="shared" ref="F234:F235" si="58">IF(A234="MO",D234*E234,"")</f>
        <v>608.48</v>
      </c>
      <c r="G234" s="21" t="str">
        <f t="shared" ref="G234:G235" si="59">IF(A234="MA",D234*E234,"")</f>
        <v/>
      </c>
      <c r="H234" s="21" t="str">
        <f t="shared" ref="H234:H235" si="60">IF(A234="HE",D234*E234,"")</f>
        <v/>
      </c>
      <c r="I234" s="22" t="str">
        <f t="shared" ref="I234:I235" si="61">IF(A234="OT",D234*E234,"")</f>
        <v/>
      </c>
    </row>
    <row r="235" spans="1:9" ht="15.6" x14ac:dyDescent="0.3">
      <c r="A235" s="350" t="s">
        <v>32</v>
      </c>
      <c r="B235" s="349" t="s">
        <v>231</v>
      </c>
      <c r="C235" s="351" t="s">
        <v>7</v>
      </c>
      <c r="D235" s="412">
        <v>1.1000000000000001</v>
      </c>
      <c r="E235" s="321">
        <f>40000</f>
        <v>40000</v>
      </c>
      <c r="F235" s="322" t="str">
        <f t="shared" si="58"/>
        <v/>
      </c>
      <c r="G235" s="322">
        <f t="shared" si="59"/>
        <v>44000</v>
      </c>
      <c r="H235" s="322" t="str">
        <f t="shared" si="60"/>
        <v/>
      </c>
      <c r="I235" s="323" t="str">
        <f t="shared" si="61"/>
        <v/>
      </c>
    </row>
    <row r="236" spans="1:9" ht="15.6" x14ac:dyDescent="0.3">
      <c r="A236" s="19" t="s">
        <v>26</v>
      </c>
      <c r="B236" s="13" t="s">
        <v>229</v>
      </c>
      <c r="C236" s="12" t="s">
        <v>120</v>
      </c>
      <c r="D236" s="523">
        <v>30</v>
      </c>
      <c r="E236" s="20">
        <v>1500</v>
      </c>
      <c r="F236" s="21" t="str">
        <f>IF(A236="MO",D236*E236,"")</f>
        <v/>
      </c>
      <c r="G236" s="21" t="str">
        <f>IF(A236="MA",D236*E236,"")</f>
        <v/>
      </c>
      <c r="H236" s="21" t="str">
        <f>IF(A236="HE",D236*E236,"")</f>
        <v/>
      </c>
      <c r="I236" s="22">
        <f>IF(A236="OT",D236*E236,"")</f>
        <v>45000</v>
      </c>
    </row>
    <row r="237" spans="1:9" ht="15.6" x14ac:dyDescent="0.3">
      <c r="A237" s="330" t="s">
        <v>29</v>
      </c>
      <c r="B237" s="349" t="s">
        <v>30</v>
      </c>
      <c r="C237" s="351" t="s">
        <v>28</v>
      </c>
      <c r="D237" s="527">
        <v>0.05</v>
      </c>
      <c r="E237" s="321">
        <f>+F238</f>
        <v>15212</v>
      </c>
      <c r="F237" s="322" t="str">
        <f t="shared" ref="F237:F238" si="62">IF(A237="MO",D237*E237,"")</f>
        <v/>
      </c>
      <c r="G237" s="322" t="str">
        <f t="shared" ref="G237:G238" si="63">IF(A237="MA",D237*E237,"")</f>
        <v/>
      </c>
      <c r="H237" s="322">
        <f t="shared" ref="H237:H238" si="64">IF(A237="HE",D237*E237,"")</f>
        <v>760.6</v>
      </c>
      <c r="I237" s="323" t="str">
        <f t="shared" ref="I237:I238" si="65">IF(A237="OT",D237*E237,"")</f>
        <v/>
      </c>
    </row>
    <row r="238" spans="1:9" ht="15.6" x14ac:dyDescent="0.3">
      <c r="A238" s="330" t="s">
        <v>24</v>
      </c>
      <c r="B238" s="331" t="s">
        <v>223</v>
      </c>
      <c r="C238" s="332" t="s">
        <v>25</v>
      </c>
      <c r="D238" s="539">
        <v>0.125</v>
      </c>
      <c r="E238" s="321">
        <f>+'M.O 2020'!B5</f>
        <v>121696</v>
      </c>
      <c r="F238" s="322">
        <f t="shared" si="62"/>
        <v>15212</v>
      </c>
      <c r="G238" s="322" t="str">
        <f t="shared" si="63"/>
        <v/>
      </c>
      <c r="H238" s="322" t="str">
        <f t="shared" si="64"/>
        <v/>
      </c>
      <c r="I238" s="323" t="str">
        <f t="shared" si="65"/>
        <v/>
      </c>
    </row>
    <row r="239" spans="1:9" ht="15.6" x14ac:dyDescent="0.3">
      <c r="A239" s="246"/>
      <c r="B239" s="247"/>
      <c r="C239" s="248"/>
      <c r="D239" s="540"/>
      <c r="E239" s="259"/>
      <c r="F239" s="249"/>
      <c r="G239" s="249"/>
      <c r="H239" s="249"/>
      <c r="I239" s="245"/>
    </row>
    <row r="240" spans="1:9" ht="16.2" thickBot="1" x14ac:dyDescent="0.35">
      <c r="A240" s="324"/>
      <c r="B240" s="325" t="s">
        <v>31</v>
      </c>
      <c r="C240" s="326">
        <f>ROUND((SUM(F240:I240)),0)</f>
        <v>105581</v>
      </c>
      <c r="D240" s="541" t="str">
        <f>+C230</f>
        <v>m3</v>
      </c>
      <c r="E240" s="327"/>
      <c r="F240" s="328">
        <f>SUM(F234:F238)</f>
        <v>15820.48</v>
      </c>
      <c r="G240" s="328">
        <f>SUM(G234:G238)</f>
        <v>44000</v>
      </c>
      <c r="H240" s="328">
        <f>SUM(H234:H238)</f>
        <v>760.6</v>
      </c>
      <c r="I240" s="329">
        <f>SUM(I234:I238)</f>
        <v>45000</v>
      </c>
    </row>
    <row r="241" spans="1:9" ht="15.75" customHeight="1" thickTop="1" thickBot="1" x14ac:dyDescent="0.35"/>
    <row r="242" spans="1:9" ht="15.75" customHeight="1" thickTop="1" x14ac:dyDescent="0.3">
      <c r="A242" s="1011" t="s">
        <v>35</v>
      </c>
      <c r="B242" s="1012"/>
      <c r="C242" s="966" t="s">
        <v>474</v>
      </c>
      <c r="D242" s="967"/>
      <c r="E242" s="967"/>
      <c r="F242" s="967"/>
      <c r="G242" s="967"/>
      <c r="H242" s="967"/>
      <c r="I242" s="968"/>
    </row>
    <row r="243" spans="1:9" ht="31.5" customHeight="1" x14ac:dyDescent="0.3">
      <c r="A243" s="1013" t="s">
        <v>12</v>
      </c>
      <c r="B243" s="1014"/>
      <c r="C243" s="969" t="s">
        <v>475</v>
      </c>
      <c r="D243" s="970"/>
      <c r="E243" s="970"/>
      <c r="F243" s="970"/>
      <c r="G243" s="970"/>
      <c r="H243" s="970"/>
      <c r="I243" s="971"/>
    </row>
    <row r="244" spans="1:9" ht="15.75" customHeight="1" x14ac:dyDescent="0.3">
      <c r="A244" s="1013" t="s">
        <v>13</v>
      </c>
      <c r="B244" s="1014"/>
      <c r="C244" s="974" t="s">
        <v>7</v>
      </c>
      <c r="D244" s="975"/>
      <c r="E244" s="975"/>
      <c r="F244" s="975"/>
      <c r="G244" s="975"/>
      <c r="H244" s="975"/>
      <c r="I244" s="976"/>
    </row>
    <row r="245" spans="1:9" ht="15.6" x14ac:dyDescent="0.3">
      <c r="A245" s="977" t="s">
        <v>14</v>
      </c>
      <c r="B245" s="979" t="s">
        <v>15</v>
      </c>
      <c r="C245" s="979" t="s">
        <v>16</v>
      </c>
      <c r="D245" s="982" t="s">
        <v>17</v>
      </c>
      <c r="E245" s="1016" t="s">
        <v>18</v>
      </c>
      <c r="F245" s="986" t="s">
        <v>19</v>
      </c>
      <c r="G245" s="987"/>
      <c r="H245" s="987"/>
      <c r="I245" s="988"/>
    </row>
    <row r="246" spans="1:9" ht="31.8" thickBot="1" x14ac:dyDescent="0.35">
      <c r="A246" s="1015"/>
      <c r="B246" s="981"/>
      <c r="C246" s="981"/>
      <c r="D246" s="983"/>
      <c r="E246" s="1017"/>
      <c r="F246" s="72" t="s">
        <v>20</v>
      </c>
      <c r="G246" s="72" t="s">
        <v>21</v>
      </c>
      <c r="H246" s="72" t="s">
        <v>22</v>
      </c>
      <c r="I246" s="296" t="s">
        <v>23</v>
      </c>
    </row>
    <row r="247" spans="1:9" ht="16.8" thickTop="1" thickBot="1" x14ac:dyDescent="0.35">
      <c r="A247" s="243"/>
      <c r="B247" s="244"/>
      <c r="C247" s="244"/>
      <c r="D247" s="538"/>
      <c r="E247" s="255"/>
      <c r="F247" s="244"/>
      <c r="G247" s="244"/>
      <c r="H247" s="244"/>
      <c r="I247" s="244"/>
    </row>
    <row r="248" spans="1:9" ht="16.2" thickTop="1" x14ac:dyDescent="0.3">
      <c r="A248" s="19" t="s">
        <v>24</v>
      </c>
      <c r="B248" s="11" t="s">
        <v>27</v>
      </c>
      <c r="C248" s="16" t="s">
        <v>28</v>
      </c>
      <c r="D248" s="514">
        <v>0.04</v>
      </c>
      <c r="E248" s="20">
        <f>+F253</f>
        <v>15212</v>
      </c>
      <c r="F248" s="21">
        <f t="shared" ref="F248:F253" si="66">IF(A248="MO",D248*E248,"")</f>
        <v>608.48</v>
      </c>
      <c r="G248" s="21" t="str">
        <f t="shared" ref="G248:G253" si="67">IF(A248="MA",D248*E248,"")</f>
        <v/>
      </c>
      <c r="H248" s="21" t="str">
        <f t="shared" ref="H248:H253" si="68">IF(A248="HE",D248*E248,"")</f>
        <v/>
      </c>
      <c r="I248" s="22" t="str">
        <f t="shared" ref="I248:I253" si="69">IF(A248="OT",D248*E248,"")</f>
        <v/>
      </c>
    </row>
    <row r="249" spans="1:9" ht="31.5" customHeight="1" x14ac:dyDescent="0.3">
      <c r="A249" s="350" t="s">
        <v>32</v>
      </c>
      <c r="B249" s="349" t="s">
        <v>231</v>
      </c>
      <c r="C249" s="351" t="s">
        <v>7</v>
      </c>
      <c r="D249" s="412">
        <v>1.1000000000000001</v>
      </c>
      <c r="E249" s="321">
        <f>40000</f>
        <v>40000</v>
      </c>
      <c r="F249" s="322" t="str">
        <f t="shared" si="66"/>
        <v/>
      </c>
      <c r="G249" s="322">
        <f t="shared" si="67"/>
        <v>44000</v>
      </c>
      <c r="H249" s="322" t="str">
        <f t="shared" si="68"/>
        <v/>
      </c>
      <c r="I249" s="323" t="str">
        <f t="shared" si="69"/>
        <v/>
      </c>
    </row>
    <row r="250" spans="1:9" ht="31.5" customHeight="1" x14ac:dyDescent="0.3">
      <c r="A250" s="19" t="s">
        <v>26</v>
      </c>
      <c r="B250" s="13" t="s">
        <v>229</v>
      </c>
      <c r="C250" s="12" t="s">
        <v>120</v>
      </c>
      <c r="D250" s="523">
        <v>30</v>
      </c>
      <c r="E250" s="20">
        <v>1500</v>
      </c>
      <c r="F250" s="21" t="str">
        <f>IF(A250="MO",D250*E250,"")</f>
        <v/>
      </c>
      <c r="G250" s="21" t="str">
        <f>IF(A250="MA",D250*E250,"")</f>
        <v/>
      </c>
      <c r="H250" s="21" t="str">
        <f>IF(A250="HE",D250*E250,"")</f>
        <v/>
      </c>
      <c r="I250" s="22">
        <f>IF(A250="OT",D250*E250,"")</f>
        <v>45000</v>
      </c>
    </row>
    <row r="251" spans="1:9" ht="15.6" x14ac:dyDescent="0.3">
      <c r="A251" s="375" t="s">
        <v>29</v>
      </c>
      <c r="B251" s="377" t="s">
        <v>304</v>
      </c>
      <c r="C251" s="383" t="s">
        <v>289</v>
      </c>
      <c r="D251" s="520">
        <v>1.8</v>
      </c>
      <c r="E251" s="321">
        <f>+$C$990</f>
        <v>8250.6174612024897</v>
      </c>
      <c r="F251" s="322" t="str">
        <f>IF(A251="MO",D251*E251,"")</f>
        <v/>
      </c>
      <c r="G251" s="322" t="str">
        <f>IF(A251="MA",D251*E251,"")</f>
        <v/>
      </c>
      <c r="H251" s="322">
        <f>IF(A251="HE",D251*E251,"")</f>
        <v>14851.111430164481</v>
      </c>
      <c r="I251" s="323" t="str">
        <f>IF(A251="OT",D251*E251,"")</f>
        <v/>
      </c>
    </row>
    <row r="252" spans="1:9" ht="15.6" x14ac:dyDescent="0.3">
      <c r="A252" s="275" t="s">
        <v>29</v>
      </c>
      <c r="B252" s="13" t="s">
        <v>30</v>
      </c>
      <c r="C252" s="12" t="s">
        <v>28</v>
      </c>
      <c r="D252" s="524">
        <v>0.05</v>
      </c>
      <c r="E252" s="20">
        <f>+F253</f>
        <v>15212</v>
      </c>
      <c r="F252" s="21" t="str">
        <f t="shared" ref="F252" si="70">IF(A252="MO",D252*E252,"")</f>
        <v/>
      </c>
      <c r="G252" s="21" t="str">
        <f t="shared" ref="G252" si="71">IF(A252="MA",D252*E252,"")</f>
        <v/>
      </c>
      <c r="H252" s="21">
        <f t="shared" ref="H252" si="72">IF(A252="HE",D252*E252,"")</f>
        <v>760.6</v>
      </c>
      <c r="I252" s="22" t="str">
        <f t="shared" ref="I252" si="73">IF(A252="OT",D252*E252,"")</f>
        <v/>
      </c>
    </row>
    <row r="253" spans="1:9" ht="15.6" x14ac:dyDescent="0.3">
      <c r="A253" s="275" t="s">
        <v>24</v>
      </c>
      <c r="B253" s="331" t="s">
        <v>223</v>
      </c>
      <c r="C253" s="332" t="s">
        <v>25</v>
      </c>
      <c r="D253" s="539">
        <v>0.125</v>
      </c>
      <c r="E253" s="321">
        <f>+'M.O 2020'!B5</f>
        <v>121696</v>
      </c>
      <c r="F253" s="322">
        <f t="shared" si="66"/>
        <v>15212</v>
      </c>
      <c r="G253" s="322" t="str">
        <f t="shared" si="67"/>
        <v/>
      </c>
      <c r="H253" s="322" t="str">
        <f t="shared" si="68"/>
        <v/>
      </c>
      <c r="I253" s="323" t="str">
        <f t="shared" si="69"/>
        <v/>
      </c>
    </row>
    <row r="254" spans="1:9" ht="15.6" x14ac:dyDescent="0.3">
      <c r="A254" s="246"/>
      <c r="B254" s="247"/>
      <c r="C254" s="248"/>
      <c r="D254" s="540"/>
      <c r="E254" s="259"/>
      <c r="F254" s="249"/>
      <c r="G254" s="249"/>
      <c r="H254" s="249"/>
      <c r="I254" s="245"/>
    </row>
    <row r="255" spans="1:9" ht="32.25" customHeight="1" thickBot="1" x14ac:dyDescent="0.35">
      <c r="A255" s="324"/>
      <c r="B255" s="325" t="s">
        <v>31</v>
      </c>
      <c r="C255" s="326">
        <f>ROUND((SUM(F255:I255)),0)</f>
        <v>120432</v>
      </c>
      <c r="D255" s="541" t="str">
        <f>+C244</f>
        <v>m3</v>
      </c>
      <c r="E255" s="327"/>
      <c r="F255" s="328">
        <f>SUM(F248:F253)</f>
        <v>15820.48</v>
      </c>
      <c r="G255" s="328">
        <f>SUM(G248:G253)</f>
        <v>44000</v>
      </c>
      <c r="H255" s="328">
        <f>SUM(H248:H253)</f>
        <v>15611.711430164481</v>
      </c>
      <c r="I255" s="329">
        <f>SUM(I248:I253)</f>
        <v>45000</v>
      </c>
    </row>
    <row r="256" spans="1:9" ht="15.6" thickTop="1" thickBot="1" x14ac:dyDescent="0.35"/>
    <row r="257" spans="1:11" ht="16.2" thickTop="1" x14ac:dyDescent="0.3">
      <c r="A257" s="854" t="s">
        <v>35</v>
      </c>
      <c r="B257" s="855"/>
      <c r="C257" s="943" t="s">
        <v>127</v>
      </c>
      <c r="D257" s="944"/>
      <c r="E257" s="944"/>
      <c r="F257" s="944"/>
      <c r="G257" s="944"/>
      <c r="H257" s="944"/>
      <c r="I257" s="945"/>
    </row>
    <row r="258" spans="1:11" ht="15.6" x14ac:dyDescent="0.3">
      <c r="A258" s="946" t="s">
        <v>12</v>
      </c>
      <c r="B258" s="947"/>
      <c r="C258" s="948" t="s">
        <v>128</v>
      </c>
      <c r="D258" s="949"/>
      <c r="E258" s="949"/>
      <c r="F258" s="949"/>
      <c r="G258" s="949"/>
      <c r="H258" s="949"/>
      <c r="I258" s="950"/>
    </row>
    <row r="259" spans="1:11" ht="15.6" x14ac:dyDescent="0.3">
      <c r="A259" s="858" t="s">
        <v>13</v>
      </c>
      <c r="B259" s="859"/>
      <c r="C259" s="948" t="s">
        <v>5</v>
      </c>
      <c r="D259" s="949"/>
      <c r="E259" s="949"/>
      <c r="F259" s="949"/>
      <c r="G259" s="949"/>
      <c r="H259" s="949"/>
      <c r="I259" s="950"/>
    </row>
    <row r="260" spans="1:11" ht="15.6" x14ac:dyDescent="0.3">
      <c r="A260" s="862" t="s">
        <v>14</v>
      </c>
      <c r="B260" s="848" t="s">
        <v>15</v>
      </c>
      <c r="C260" s="864" t="s">
        <v>16</v>
      </c>
      <c r="D260" s="866" t="s">
        <v>17</v>
      </c>
      <c r="E260" s="868" t="s">
        <v>18</v>
      </c>
      <c r="F260" s="955" t="s">
        <v>19</v>
      </c>
      <c r="G260" s="956"/>
      <c r="H260" s="956"/>
      <c r="I260" s="957"/>
    </row>
    <row r="261" spans="1:11" ht="31.8" thickBot="1" x14ac:dyDescent="0.35">
      <c r="A261" s="863"/>
      <c r="B261" s="864"/>
      <c r="C261" s="952"/>
      <c r="D261" s="953"/>
      <c r="E261" s="954"/>
      <c r="F261" s="480" t="s">
        <v>20</v>
      </c>
      <c r="G261" s="480" t="s">
        <v>21</v>
      </c>
      <c r="H261" s="480" t="s">
        <v>22</v>
      </c>
      <c r="I261" s="14" t="s">
        <v>23</v>
      </c>
    </row>
    <row r="262" spans="1:11" ht="15.6" customHeight="1" thickTop="1" thickBot="1" x14ac:dyDescent="0.35">
      <c r="A262" s="99"/>
      <c r="B262" s="99"/>
      <c r="C262" s="99"/>
      <c r="D262" s="526"/>
      <c r="E262" s="100"/>
      <c r="F262" s="99"/>
      <c r="G262" s="99"/>
      <c r="H262" s="99"/>
      <c r="I262" s="99"/>
    </row>
    <row r="263" spans="1:11" ht="36" customHeight="1" thickTop="1" x14ac:dyDescent="0.3">
      <c r="A263" s="633" t="s">
        <v>32</v>
      </c>
      <c r="B263" s="634" t="s">
        <v>910</v>
      </c>
      <c r="C263" s="635" t="s">
        <v>5</v>
      </c>
      <c r="D263" s="636">
        <v>1.06</v>
      </c>
      <c r="E263" s="585">
        <f>825135*1.19</f>
        <v>981910.64999999991</v>
      </c>
      <c r="F263" s="586" t="str">
        <f t="shared" ref="F263:F268" si="74">IF(A263="MO",D263*E263,"")</f>
        <v/>
      </c>
      <c r="G263" s="586">
        <f t="shared" ref="G263:G268" si="75">IF(A263="MA",D263*E263,"")</f>
        <v>1040825.289</v>
      </c>
      <c r="H263" s="586" t="str">
        <f t="shared" ref="H263:H268" si="76">IF(A263="HE",D263*E263,"")</f>
        <v/>
      </c>
      <c r="I263" s="587" t="str">
        <f t="shared" ref="I263:I268" si="77">IF(A263="OT",D263*E263,"")</f>
        <v/>
      </c>
      <c r="K263" s="368"/>
    </row>
    <row r="264" spans="1:11" ht="15.6" customHeight="1" x14ac:dyDescent="0.3">
      <c r="A264" s="19" t="s">
        <v>32</v>
      </c>
      <c r="B264" s="13" t="s">
        <v>129</v>
      </c>
      <c r="C264" s="12" t="s">
        <v>130</v>
      </c>
      <c r="D264" s="523">
        <v>100</v>
      </c>
      <c r="E264" s="20">
        <f>45447/760</f>
        <v>59.798684210526318</v>
      </c>
      <c r="F264" s="21" t="str">
        <f t="shared" si="74"/>
        <v/>
      </c>
      <c r="G264" s="21">
        <f t="shared" si="75"/>
        <v>5979.8684210526317</v>
      </c>
      <c r="H264" s="21" t="str">
        <f t="shared" si="76"/>
        <v/>
      </c>
      <c r="I264" s="22" t="str">
        <f t="shared" si="77"/>
        <v/>
      </c>
    </row>
    <row r="265" spans="1:11" ht="15.6" customHeight="1" x14ac:dyDescent="0.3">
      <c r="A265" s="19" t="s">
        <v>32</v>
      </c>
      <c r="B265" s="13" t="s">
        <v>131</v>
      </c>
      <c r="C265" s="12" t="s">
        <v>101</v>
      </c>
      <c r="D265" s="523">
        <v>7.4999999999999997E-2</v>
      </c>
      <c r="E265" s="20">
        <f>158410/8</f>
        <v>19801.25</v>
      </c>
      <c r="F265" s="21" t="str">
        <f t="shared" si="74"/>
        <v/>
      </c>
      <c r="G265" s="21">
        <f t="shared" si="75"/>
        <v>1485.09375</v>
      </c>
      <c r="H265" s="21" t="str">
        <f t="shared" si="76"/>
        <v/>
      </c>
      <c r="I265" s="22" t="str">
        <f t="shared" si="77"/>
        <v/>
      </c>
    </row>
    <row r="266" spans="1:11" ht="15.75" customHeight="1" x14ac:dyDescent="0.3">
      <c r="A266" s="19" t="s">
        <v>24</v>
      </c>
      <c r="B266" s="92" t="s">
        <v>206</v>
      </c>
      <c r="C266" s="12" t="s">
        <v>25</v>
      </c>
      <c r="D266" s="523">
        <v>0.16600000000000001</v>
      </c>
      <c r="E266" s="20">
        <f>+'M.O 2020'!B11</f>
        <v>236192</v>
      </c>
      <c r="F266" s="21">
        <f t="shared" si="74"/>
        <v>39207.872000000003</v>
      </c>
      <c r="G266" s="21" t="str">
        <f t="shared" si="75"/>
        <v/>
      </c>
      <c r="H266" s="21" t="str">
        <f t="shared" si="76"/>
        <v/>
      </c>
      <c r="I266" s="22" t="str">
        <f t="shared" si="77"/>
        <v/>
      </c>
    </row>
    <row r="267" spans="1:11" ht="15.6" x14ac:dyDescent="0.3">
      <c r="A267" s="19" t="s">
        <v>29</v>
      </c>
      <c r="B267" s="13" t="s">
        <v>30</v>
      </c>
      <c r="C267" s="12" t="s">
        <v>28</v>
      </c>
      <c r="D267" s="523">
        <v>0.1</v>
      </c>
      <c r="E267" s="20">
        <f>F266</f>
        <v>39207.872000000003</v>
      </c>
      <c r="F267" s="21" t="str">
        <f t="shared" si="74"/>
        <v/>
      </c>
      <c r="G267" s="21" t="str">
        <f t="shared" si="75"/>
        <v/>
      </c>
      <c r="H267" s="21">
        <f t="shared" si="76"/>
        <v>3920.7872000000007</v>
      </c>
      <c r="I267" s="22" t="str">
        <f t="shared" si="77"/>
        <v/>
      </c>
    </row>
    <row r="268" spans="1:11" ht="15.6" x14ac:dyDescent="0.3">
      <c r="A268" s="230"/>
      <c r="B268" s="231"/>
      <c r="C268" s="232"/>
      <c r="D268" s="530"/>
      <c r="E268" s="233"/>
      <c r="F268" s="228" t="str">
        <f t="shared" si="74"/>
        <v/>
      </c>
      <c r="G268" s="228" t="str">
        <f t="shared" si="75"/>
        <v/>
      </c>
      <c r="H268" s="228" t="str">
        <f t="shared" si="76"/>
        <v/>
      </c>
      <c r="I268" s="229" t="str">
        <f t="shared" si="77"/>
        <v/>
      </c>
    </row>
    <row r="269" spans="1:11" ht="16.2" thickBot="1" x14ac:dyDescent="0.35">
      <c r="A269" s="23"/>
      <c r="B269" s="24" t="s">
        <v>31</v>
      </c>
      <c r="C269" s="25">
        <f>ROUND(SUM(F269:I269),0)</f>
        <v>1091419</v>
      </c>
      <c r="D269" s="516" t="str">
        <f>+C259</f>
        <v>m</v>
      </c>
      <c r="E269" s="26"/>
      <c r="F269" s="27">
        <f>SUM(F263:F268)</f>
        <v>39207.872000000003</v>
      </c>
      <c r="G269" s="27">
        <f>SUM(G263:G268)</f>
        <v>1048290.2511710526</v>
      </c>
      <c r="H269" s="27">
        <f>SUM(H263:H268)</f>
        <v>3920.7872000000007</v>
      </c>
      <c r="I269" s="28">
        <f>SUM(I263:I268)</f>
        <v>0</v>
      </c>
    </row>
    <row r="270" spans="1:11" ht="15.6" thickTop="1" thickBot="1" x14ac:dyDescent="0.35"/>
    <row r="271" spans="1:11" ht="35.25" customHeight="1" thickTop="1" x14ac:dyDescent="0.3">
      <c r="A271" s="854" t="s">
        <v>35</v>
      </c>
      <c r="B271" s="855"/>
      <c r="C271" s="943" t="s">
        <v>232</v>
      </c>
      <c r="D271" s="944"/>
      <c r="E271" s="944"/>
      <c r="F271" s="944"/>
      <c r="G271" s="944"/>
      <c r="H271" s="944"/>
      <c r="I271" s="945"/>
    </row>
    <row r="272" spans="1:11" ht="15.75" customHeight="1" x14ac:dyDescent="0.3">
      <c r="A272" s="946" t="s">
        <v>12</v>
      </c>
      <c r="B272" s="947"/>
      <c r="C272" s="948" t="s">
        <v>132</v>
      </c>
      <c r="D272" s="949"/>
      <c r="E272" s="949"/>
      <c r="F272" s="949"/>
      <c r="G272" s="949"/>
      <c r="H272" s="949"/>
      <c r="I272" s="950"/>
    </row>
    <row r="273" spans="1:9" ht="15.6" x14ac:dyDescent="0.3">
      <c r="A273" s="858" t="s">
        <v>13</v>
      </c>
      <c r="B273" s="859"/>
      <c r="C273" s="948" t="s">
        <v>5</v>
      </c>
      <c r="D273" s="949"/>
      <c r="E273" s="949"/>
      <c r="F273" s="949"/>
      <c r="G273" s="949"/>
      <c r="H273" s="949"/>
      <c r="I273" s="950"/>
    </row>
    <row r="274" spans="1:9" ht="15.6" x14ac:dyDescent="0.3">
      <c r="A274" s="862" t="s">
        <v>14</v>
      </c>
      <c r="B274" s="848" t="s">
        <v>15</v>
      </c>
      <c r="C274" s="864" t="s">
        <v>16</v>
      </c>
      <c r="D274" s="866" t="s">
        <v>17</v>
      </c>
      <c r="E274" s="868" t="s">
        <v>18</v>
      </c>
      <c r="F274" s="955" t="s">
        <v>19</v>
      </c>
      <c r="G274" s="956"/>
      <c r="H274" s="956"/>
      <c r="I274" s="957"/>
    </row>
    <row r="275" spans="1:9" ht="31.8" thickBot="1" x14ac:dyDescent="0.35">
      <c r="A275" s="863"/>
      <c r="B275" s="864"/>
      <c r="C275" s="952"/>
      <c r="D275" s="953"/>
      <c r="E275" s="954"/>
      <c r="F275" s="480" t="s">
        <v>20</v>
      </c>
      <c r="G275" s="480" t="s">
        <v>21</v>
      </c>
      <c r="H275" s="480" t="s">
        <v>22</v>
      </c>
      <c r="I275" s="14" t="s">
        <v>23</v>
      </c>
    </row>
    <row r="276" spans="1:9" ht="16.8" thickTop="1" thickBot="1" x14ac:dyDescent="0.35">
      <c r="A276" s="9"/>
      <c r="B276" s="9"/>
      <c r="C276" s="9"/>
      <c r="D276" s="513"/>
      <c r="E276" s="10"/>
      <c r="F276" s="9"/>
      <c r="G276" s="9"/>
      <c r="H276" s="9"/>
      <c r="I276" s="9"/>
    </row>
    <row r="277" spans="1:9" ht="15.75" customHeight="1" thickTop="1" x14ac:dyDescent="0.3">
      <c r="A277" s="19" t="s">
        <v>32</v>
      </c>
      <c r="B277" s="13" t="s">
        <v>133</v>
      </c>
      <c r="C277" s="12" t="s">
        <v>5</v>
      </c>
      <c r="D277" s="523">
        <v>1</v>
      </c>
      <c r="E277" s="20">
        <f>190872/6</f>
        <v>31812</v>
      </c>
      <c r="F277" s="21" t="str">
        <f t="shared" ref="F277:F283" si="78">IF(A277="MO",D277*E277,"")</f>
        <v/>
      </c>
      <c r="G277" s="21">
        <f t="shared" ref="G277:G283" si="79">IF(A277="MA",D277*E277,"")</f>
        <v>31812</v>
      </c>
      <c r="H277" s="21" t="str">
        <f t="shared" ref="H277:H283" si="80">IF(A277="HE",D277*E277,"")</f>
        <v/>
      </c>
      <c r="I277" s="22" t="str">
        <f t="shared" ref="I277:I283" si="81">IF(A277="OT",D277*E277,"")</f>
        <v/>
      </c>
    </row>
    <row r="278" spans="1:9" ht="15.6" x14ac:dyDescent="0.3">
      <c r="A278" s="19" t="s">
        <v>32</v>
      </c>
      <c r="B278" s="13" t="s">
        <v>207</v>
      </c>
      <c r="C278" s="12" t="s">
        <v>112</v>
      </c>
      <c r="D278" s="524">
        <v>0.05</v>
      </c>
      <c r="E278" s="20">
        <f>+E277</f>
        <v>31812</v>
      </c>
      <c r="F278" s="21" t="str">
        <f t="shared" ref="F278" si="82">IF(A278="MO",D278*E278,"")</f>
        <v/>
      </c>
      <c r="G278" s="21">
        <f t="shared" ref="G278" si="83">IF(A278="MA",D278*E278,"")</f>
        <v>1590.6000000000001</v>
      </c>
      <c r="H278" s="21" t="str">
        <f t="shared" ref="H278" si="84">IF(A278="HE",D278*E278,"")</f>
        <v/>
      </c>
      <c r="I278" s="22" t="str">
        <f t="shared" ref="I278" si="85">IF(A278="OT",D278*E278,"")</f>
        <v/>
      </c>
    </row>
    <row r="279" spans="1:9" ht="15.6" x14ac:dyDescent="0.3">
      <c r="A279" s="19" t="s">
        <v>24</v>
      </c>
      <c r="B279" s="13" t="s">
        <v>233</v>
      </c>
      <c r="C279" s="12" t="s">
        <v>25</v>
      </c>
      <c r="D279" s="542">
        <v>0.04</v>
      </c>
      <c r="E279" s="20">
        <f>+'M.O 2020'!B10</f>
        <v>175344</v>
      </c>
      <c r="F279" s="21">
        <f t="shared" si="78"/>
        <v>7013.76</v>
      </c>
      <c r="G279" s="21" t="str">
        <f t="shared" si="79"/>
        <v/>
      </c>
      <c r="H279" s="21" t="str">
        <f t="shared" si="80"/>
        <v/>
      </c>
      <c r="I279" s="22" t="str">
        <f t="shared" si="81"/>
        <v/>
      </c>
    </row>
    <row r="280" spans="1:9" ht="15.6" x14ac:dyDescent="0.3">
      <c r="A280" s="19" t="s">
        <v>32</v>
      </c>
      <c r="B280" s="13" t="s">
        <v>234</v>
      </c>
      <c r="C280" s="12" t="s">
        <v>235</v>
      </c>
      <c r="D280" s="523">
        <v>1.0999999999999999E-2</v>
      </c>
      <c r="E280" s="20">
        <v>45447</v>
      </c>
      <c r="F280" s="21" t="str">
        <f t="shared" si="78"/>
        <v/>
      </c>
      <c r="G280" s="21">
        <f t="shared" si="79"/>
        <v>499.91699999999997</v>
      </c>
      <c r="H280" s="21" t="str">
        <f t="shared" si="80"/>
        <v/>
      </c>
      <c r="I280" s="22" t="str">
        <f t="shared" si="81"/>
        <v/>
      </c>
    </row>
    <row r="281" spans="1:9" ht="15.6" x14ac:dyDescent="0.3">
      <c r="A281" s="19" t="s">
        <v>32</v>
      </c>
      <c r="B281" s="13" t="s">
        <v>236</v>
      </c>
      <c r="C281" s="12" t="s">
        <v>235</v>
      </c>
      <c r="D281" s="523">
        <v>4.2000000000000003E-2</v>
      </c>
      <c r="E281" s="20">
        <v>94254</v>
      </c>
      <c r="F281" s="21" t="str">
        <f t="shared" si="78"/>
        <v/>
      </c>
      <c r="G281" s="21">
        <f t="shared" si="79"/>
        <v>3958.6680000000001</v>
      </c>
      <c r="H281" s="21" t="str">
        <f t="shared" si="80"/>
        <v/>
      </c>
      <c r="I281" s="22" t="str">
        <f t="shared" si="81"/>
        <v/>
      </c>
    </row>
    <row r="282" spans="1:9" ht="15.6" x14ac:dyDescent="0.3">
      <c r="A282" s="19" t="s">
        <v>29</v>
      </c>
      <c r="B282" s="13" t="s">
        <v>30</v>
      </c>
      <c r="C282" s="12" t="s">
        <v>28</v>
      </c>
      <c r="D282" s="524">
        <v>0.05</v>
      </c>
      <c r="E282" s="20">
        <f>F279</f>
        <v>7013.76</v>
      </c>
      <c r="F282" s="21" t="str">
        <f t="shared" si="78"/>
        <v/>
      </c>
      <c r="G282" s="21" t="str">
        <f t="shared" si="79"/>
        <v/>
      </c>
      <c r="H282" s="21">
        <f t="shared" si="80"/>
        <v>350.68800000000005</v>
      </c>
      <c r="I282" s="22" t="str">
        <f t="shared" si="81"/>
        <v/>
      </c>
    </row>
    <row r="283" spans="1:9" ht="15.6" x14ac:dyDescent="0.3">
      <c r="A283" s="19"/>
      <c r="B283" s="488"/>
      <c r="C283" s="12"/>
      <c r="D283" s="523"/>
      <c r="E283" s="20"/>
      <c r="F283" s="21" t="str">
        <f t="shared" si="78"/>
        <v/>
      </c>
      <c r="G283" s="21" t="str">
        <f t="shared" si="79"/>
        <v/>
      </c>
      <c r="H283" s="21" t="str">
        <f t="shared" si="80"/>
        <v/>
      </c>
      <c r="I283" s="22" t="str">
        <f t="shared" si="81"/>
        <v/>
      </c>
    </row>
    <row r="284" spans="1:9" ht="15.75" customHeight="1" thickBot="1" x14ac:dyDescent="0.35">
      <c r="A284" s="23"/>
      <c r="B284" s="24" t="s">
        <v>31</v>
      </c>
      <c r="C284" s="277">
        <f>ROUND(SUM(F284:I284),0)</f>
        <v>45226</v>
      </c>
      <c r="D284" s="516" t="str">
        <f>+C273</f>
        <v>m</v>
      </c>
      <c r="E284" s="26"/>
      <c r="F284" s="27">
        <f>SUM(F277:F283)</f>
        <v>7013.76</v>
      </c>
      <c r="G284" s="27">
        <f>SUM(G277:G283)</f>
        <v>37861.184999999998</v>
      </c>
      <c r="H284" s="27">
        <f>SUM(H277:H283)</f>
        <v>350.68800000000005</v>
      </c>
      <c r="I284" s="28">
        <f>SUM(I277:I283)</f>
        <v>0</v>
      </c>
    </row>
    <row r="285" spans="1:9" ht="15.6" thickTop="1" thickBot="1" x14ac:dyDescent="0.35"/>
    <row r="286" spans="1:9" ht="16.2" thickTop="1" x14ac:dyDescent="0.3">
      <c r="A286" s="854" t="s">
        <v>35</v>
      </c>
      <c r="B286" s="855"/>
      <c r="C286" s="943" t="s">
        <v>134</v>
      </c>
      <c r="D286" s="944"/>
      <c r="E286" s="944"/>
      <c r="F286" s="944"/>
      <c r="G286" s="944"/>
      <c r="H286" s="944"/>
      <c r="I286" s="945"/>
    </row>
    <row r="287" spans="1:9" ht="15.6" x14ac:dyDescent="0.3">
      <c r="A287" s="858" t="s">
        <v>12</v>
      </c>
      <c r="B287" s="859"/>
      <c r="C287" s="948" t="s">
        <v>476</v>
      </c>
      <c r="D287" s="949"/>
      <c r="E287" s="949"/>
      <c r="F287" s="949"/>
      <c r="G287" s="949"/>
      <c r="H287" s="949"/>
      <c r="I287" s="950"/>
    </row>
    <row r="288" spans="1:9" ht="15.6" x14ac:dyDescent="0.3">
      <c r="A288" s="858" t="s">
        <v>13</v>
      </c>
      <c r="B288" s="859"/>
      <c r="C288" s="948" t="s">
        <v>5</v>
      </c>
      <c r="D288" s="949"/>
      <c r="E288" s="949"/>
      <c r="F288" s="949"/>
      <c r="G288" s="949"/>
      <c r="H288" s="949"/>
      <c r="I288" s="950"/>
    </row>
    <row r="289" spans="1:9" ht="15.6" x14ac:dyDescent="0.3">
      <c r="A289" s="862" t="s">
        <v>14</v>
      </c>
      <c r="B289" s="848" t="s">
        <v>15</v>
      </c>
      <c r="C289" s="864" t="s">
        <v>16</v>
      </c>
      <c r="D289" s="866" t="s">
        <v>17</v>
      </c>
      <c r="E289" s="868" t="s">
        <v>18</v>
      </c>
      <c r="F289" s="955" t="s">
        <v>19</v>
      </c>
      <c r="G289" s="956"/>
      <c r="H289" s="956"/>
      <c r="I289" s="957"/>
    </row>
    <row r="290" spans="1:9" ht="31.8" thickBot="1" x14ac:dyDescent="0.35">
      <c r="A290" s="863"/>
      <c r="B290" s="864"/>
      <c r="C290" s="952"/>
      <c r="D290" s="953"/>
      <c r="E290" s="954"/>
      <c r="F290" s="480" t="s">
        <v>20</v>
      </c>
      <c r="G290" s="480" t="s">
        <v>21</v>
      </c>
      <c r="H290" s="480" t="s">
        <v>22</v>
      </c>
      <c r="I290" s="14" t="s">
        <v>23</v>
      </c>
    </row>
    <row r="291" spans="1:9" ht="16.8" thickTop="1" thickBot="1" x14ac:dyDescent="0.35">
      <c r="A291" s="9"/>
      <c r="B291" s="9"/>
      <c r="C291" s="9"/>
      <c r="D291" s="513"/>
      <c r="E291" s="10"/>
      <c r="F291" s="9"/>
      <c r="G291" s="9"/>
      <c r="H291" s="9"/>
      <c r="I291" s="9"/>
    </row>
    <row r="292" spans="1:9" ht="15" customHeight="1" thickTop="1" x14ac:dyDescent="0.3">
      <c r="A292" s="640" t="s">
        <v>32</v>
      </c>
      <c r="B292" s="613" t="s">
        <v>135</v>
      </c>
      <c r="C292" s="642" t="s">
        <v>5</v>
      </c>
      <c r="D292" s="643">
        <v>1</v>
      </c>
      <c r="E292" s="667">
        <f>382600*1.19/6</f>
        <v>75882.333333333328</v>
      </c>
      <c r="F292" s="668" t="str">
        <f>IF(A292="MO",D292*E292,"")</f>
        <v/>
      </c>
      <c r="G292" s="668">
        <f>IF(A292="MA",D292*E292,"")</f>
        <v>75882.333333333328</v>
      </c>
      <c r="H292" s="668" t="str">
        <f>IF(A292="HE",D292*E292,"")</f>
        <v/>
      </c>
      <c r="I292" s="666" t="str">
        <f>IF(A292="OT",D292*E292,"")</f>
        <v/>
      </c>
    </row>
    <row r="293" spans="1:9" ht="15" customHeight="1" x14ac:dyDescent="0.3">
      <c r="A293" s="633" t="s">
        <v>29</v>
      </c>
      <c r="B293" s="634" t="s">
        <v>136</v>
      </c>
      <c r="C293" s="635" t="s">
        <v>102</v>
      </c>
      <c r="D293" s="636">
        <v>1.0523340000000001</v>
      </c>
      <c r="E293" s="585">
        <f>+'especiales '!D17</f>
        <v>9103.6</v>
      </c>
      <c r="F293" s="586" t="str">
        <f>IF(A293="MO",D293*E293,"")</f>
        <v/>
      </c>
      <c r="G293" s="586" t="str">
        <f>IF(A293="MA",D293*E293,"")</f>
        <v/>
      </c>
      <c r="H293" s="586">
        <f>IF(A293="HE",D293*E293,"")</f>
        <v>9580.0278024000017</v>
      </c>
      <c r="I293" s="587" t="str">
        <f>IF(A293="OT",D293*E293,"")</f>
        <v/>
      </c>
    </row>
    <row r="294" spans="1:9" ht="15" customHeight="1" x14ac:dyDescent="0.3">
      <c r="A294" s="19" t="s">
        <v>24</v>
      </c>
      <c r="B294" s="92" t="s">
        <v>206</v>
      </c>
      <c r="C294" s="12" t="s">
        <v>25</v>
      </c>
      <c r="D294" s="523">
        <v>0.02</v>
      </c>
      <c r="E294" s="20">
        <f>+'M.O 2020'!B11</f>
        <v>236192</v>
      </c>
      <c r="F294" s="21">
        <f>IF(A294="MO",D294*E294,"")</f>
        <v>4723.84</v>
      </c>
      <c r="G294" s="21" t="str">
        <f>IF(A294="MA",D294*E294,"")</f>
        <v/>
      </c>
      <c r="H294" s="21" t="str">
        <f>IF(A294="HE",D294*E294,"")</f>
        <v/>
      </c>
      <c r="I294" s="22" t="str">
        <f>IF(A294="OT",D294*E294,"")</f>
        <v/>
      </c>
    </row>
    <row r="295" spans="1:9" ht="15.6" x14ac:dyDescent="0.3">
      <c r="A295" s="19" t="s">
        <v>29</v>
      </c>
      <c r="B295" s="13" t="s">
        <v>30</v>
      </c>
      <c r="C295" s="12" t="s">
        <v>28</v>
      </c>
      <c r="D295" s="523">
        <v>0.05</v>
      </c>
      <c r="E295" s="20">
        <f>F294</f>
        <v>4723.84</v>
      </c>
      <c r="F295" s="21" t="str">
        <f>IF(A295="MO",D295*E295,"")</f>
        <v/>
      </c>
      <c r="G295" s="21" t="str">
        <f>IF(A295="MA",D295*E295,"")</f>
        <v/>
      </c>
      <c r="H295" s="21">
        <f>IF(A295="HE",D295*E295,"")</f>
        <v>236.19200000000001</v>
      </c>
      <c r="I295" s="22" t="str">
        <f>IF(A295="OT",D295*E295,"")</f>
        <v/>
      </c>
    </row>
    <row r="296" spans="1:9" ht="15.6" x14ac:dyDescent="0.3">
      <c r="A296" s="256"/>
      <c r="B296" s="257"/>
      <c r="C296" s="258"/>
      <c r="D296" s="580"/>
      <c r="E296" s="260"/>
      <c r="F296" s="261"/>
      <c r="G296" s="261"/>
      <c r="H296" s="261"/>
      <c r="I296" s="262"/>
    </row>
    <row r="297" spans="1:9" ht="16.2" thickBot="1" x14ac:dyDescent="0.35">
      <c r="A297" s="23"/>
      <c r="B297" s="24" t="s">
        <v>31</v>
      </c>
      <c r="C297" s="25">
        <f>ROUND(SUM(F297:I297),0)</f>
        <v>90422</v>
      </c>
      <c r="D297" s="516" t="str">
        <f>+C288</f>
        <v>m</v>
      </c>
      <c r="E297" s="26"/>
      <c r="F297" s="27">
        <f>SUM(F292:F295)</f>
        <v>4723.84</v>
      </c>
      <c r="G297" s="27">
        <f>SUM(G292:G295)</f>
        <v>75882.333333333328</v>
      </c>
      <c r="H297" s="27">
        <f>SUM(H292:H295)</f>
        <v>9816.2198024000027</v>
      </c>
      <c r="I297" s="28">
        <f>SUM(I292:I294)</f>
        <v>0</v>
      </c>
    </row>
    <row r="298" spans="1:9" ht="15.6" thickTop="1" thickBot="1" x14ac:dyDescent="0.35"/>
    <row r="299" spans="1:9" ht="36" customHeight="1" thickTop="1" x14ac:dyDescent="0.3">
      <c r="A299" s="1018" t="s">
        <v>35</v>
      </c>
      <c r="B299" s="1019"/>
      <c r="C299" s="1020" t="s">
        <v>137</v>
      </c>
      <c r="D299" s="1021"/>
      <c r="E299" s="1021"/>
      <c r="F299" s="1021"/>
      <c r="G299" s="1021"/>
      <c r="H299" s="1021"/>
      <c r="I299" s="1022"/>
    </row>
    <row r="300" spans="1:9" ht="15.6" x14ac:dyDescent="0.3">
      <c r="A300" s="939" t="s">
        <v>12</v>
      </c>
      <c r="B300" s="940"/>
      <c r="C300" s="877" t="s">
        <v>138</v>
      </c>
      <c r="D300" s="878"/>
      <c r="E300" s="878"/>
      <c r="F300" s="878"/>
      <c r="G300" s="878"/>
      <c r="H300" s="878"/>
      <c r="I300" s="879"/>
    </row>
    <row r="301" spans="1:9" ht="15.6" x14ac:dyDescent="0.3">
      <c r="A301" s="939" t="s">
        <v>13</v>
      </c>
      <c r="B301" s="940"/>
      <c r="C301" s="877" t="s">
        <v>113</v>
      </c>
      <c r="D301" s="878"/>
      <c r="E301" s="878"/>
      <c r="F301" s="878"/>
      <c r="G301" s="878"/>
      <c r="H301" s="878"/>
      <c r="I301" s="879"/>
    </row>
    <row r="302" spans="1:9" ht="47.25" customHeight="1" x14ac:dyDescent="0.3">
      <c r="A302" s="881" t="s">
        <v>14</v>
      </c>
      <c r="B302" s="883" t="s">
        <v>15</v>
      </c>
      <c r="C302" s="883" t="s">
        <v>16</v>
      </c>
      <c r="D302" s="885" t="s">
        <v>17</v>
      </c>
      <c r="E302" s="887" t="s">
        <v>18</v>
      </c>
      <c r="F302" s="889" t="s">
        <v>19</v>
      </c>
      <c r="G302" s="890"/>
      <c r="H302" s="890"/>
      <c r="I302" s="891"/>
    </row>
    <row r="303" spans="1:9" ht="31.8" thickBot="1" x14ac:dyDescent="0.35">
      <c r="A303" s="1023"/>
      <c r="B303" s="884"/>
      <c r="C303" s="884"/>
      <c r="D303" s="886"/>
      <c r="E303" s="888"/>
      <c r="F303" s="481" t="s">
        <v>20</v>
      </c>
      <c r="G303" s="481" t="s">
        <v>21</v>
      </c>
      <c r="H303" s="481" t="s">
        <v>22</v>
      </c>
      <c r="I303" s="362" t="s">
        <v>23</v>
      </c>
    </row>
    <row r="304" spans="1:9" ht="16.8" thickTop="1" thickBot="1" x14ac:dyDescent="0.35">
      <c r="A304" s="99"/>
      <c r="B304" s="99"/>
      <c r="C304" s="99"/>
      <c r="D304" s="526"/>
      <c r="E304" s="100"/>
      <c r="F304" s="99"/>
      <c r="G304" s="99"/>
      <c r="H304" s="99"/>
      <c r="I304" s="99"/>
    </row>
    <row r="305" spans="1:9" ht="31.8" thickTop="1" x14ac:dyDescent="0.3">
      <c r="A305" s="581" t="s">
        <v>32</v>
      </c>
      <c r="B305" s="582" t="s">
        <v>139</v>
      </c>
      <c r="C305" s="583" t="s">
        <v>113</v>
      </c>
      <c r="D305" s="584">
        <v>1</v>
      </c>
      <c r="E305" s="585">
        <f>1360000*1.19</f>
        <v>1618400</v>
      </c>
      <c r="F305" s="586" t="str">
        <f>IF(A305="MO",D305*E305,"")</f>
        <v/>
      </c>
      <c r="G305" s="586">
        <f>IF(A305="MA",D305*E305,"")</f>
        <v>1618400</v>
      </c>
      <c r="H305" s="586" t="str">
        <f>IF(A305="HE",D305*E305,"")</f>
        <v/>
      </c>
      <c r="I305" s="587" t="str">
        <f>IF(A305="OT",D305*E305,"")</f>
        <v/>
      </c>
    </row>
    <row r="306" spans="1:9" ht="15.6" x14ac:dyDescent="0.3">
      <c r="A306" s="581" t="s">
        <v>32</v>
      </c>
      <c r="B306" s="582" t="s">
        <v>140</v>
      </c>
      <c r="C306" s="583" t="s">
        <v>113</v>
      </c>
      <c r="D306" s="584">
        <v>1</v>
      </c>
      <c r="E306" s="585">
        <v>91385</v>
      </c>
      <c r="F306" s="586" t="str">
        <f>IF(A306="MO",D306*E306,"")</f>
        <v/>
      </c>
      <c r="G306" s="586">
        <f>IF(A306="MA",D306*E306,"")</f>
        <v>91385</v>
      </c>
      <c r="H306" s="586" t="str">
        <f>IF(A306="HE",D306*E306,"")</f>
        <v/>
      </c>
      <c r="I306" s="587" t="str">
        <f>IF(A306="OT",D306*E306,"")</f>
        <v/>
      </c>
    </row>
    <row r="307" spans="1:9" ht="31.2" x14ac:dyDescent="0.3">
      <c r="A307" s="318" t="s">
        <v>24</v>
      </c>
      <c r="B307" s="349" t="s">
        <v>141</v>
      </c>
      <c r="C307" s="320" t="s">
        <v>102</v>
      </c>
      <c r="D307" s="412">
        <v>1</v>
      </c>
      <c r="E307" s="321">
        <f>+E305*0.017</f>
        <v>27512.800000000003</v>
      </c>
      <c r="F307" s="322">
        <f>IF(A307="MO",D307*E307,"")</f>
        <v>27512.800000000003</v>
      </c>
      <c r="G307" s="322" t="str">
        <f>IF(A307="MA",D307*E307,"")</f>
        <v/>
      </c>
      <c r="H307" s="322" t="str">
        <f>IF(A307="HE",D307*E307,"")</f>
        <v/>
      </c>
      <c r="I307" s="323" t="str">
        <f>IF(A307="OT",D307*E307,"")</f>
        <v/>
      </c>
    </row>
    <row r="308" spans="1:9" ht="15.6" x14ac:dyDescent="0.3">
      <c r="A308" s="350"/>
      <c r="B308" s="349"/>
      <c r="C308" s="351"/>
      <c r="D308" s="412"/>
      <c r="E308" s="321"/>
      <c r="F308" s="322"/>
      <c r="G308" s="322"/>
      <c r="H308" s="322"/>
      <c r="I308" s="323"/>
    </row>
    <row r="309" spans="1:9" ht="16.2" thickBot="1" x14ac:dyDescent="0.35">
      <c r="A309" s="342"/>
      <c r="B309" s="343" t="s">
        <v>31</v>
      </c>
      <c r="C309" s="344">
        <f>ROUND(SUM(F309:I309),0)</f>
        <v>1737298</v>
      </c>
      <c r="D309" s="522" t="str">
        <f>+C301</f>
        <v>Un</v>
      </c>
      <c r="E309" s="345"/>
      <c r="F309" s="346">
        <f>SUM(F305:F308)</f>
        <v>27512.800000000003</v>
      </c>
      <c r="G309" s="346">
        <f>SUM(G305:G308)</f>
        <v>1709785</v>
      </c>
      <c r="H309" s="346">
        <f>SUM(H305:H308)</f>
        <v>0</v>
      </c>
      <c r="I309" s="393">
        <f>SUM(I305:I308)</f>
        <v>0</v>
      </c>
    </row>
    <row r="310" spans="1:9" ht="15.6" thickTop="1" thickBot="1" x14ac:dyDescent="0.35"/>
    <row r="311" spans="1:9" ht="15.75" customHeight="1" thickTop="1" x14ac:dyDescent="0.3">
      <c r="A311" s="989" t="s">
        <v>35</v>
      </c>
      <c r="B311" s="990"/>
      <c r="C311" s="991" t="s">
        <v>142</v>
      </c>
      <c r="D311" s="992"/>
      <c r="E311" s="992"/>
      <c r="F311" s="992"/>
      <c r="G311" s="992"/>
      <c r="H311" s="992"/>
      <c r="I311" s="993"/>
    </row>
    <row r="312" spans="1:9" ht="15.6" x14ac:dyDescent="0.3">
      <c r="A312" s="994" t="s">
        <v>12</v>
      </c>
      <c r="B312" s="995"/>
      <c r="C312" s="969" t="s">
        <v>143</v>
      </c>
      <c r="D312" s="970"/>
      <c r="E312" s="970"/>
      <c r="F312" s="970"/>
      <c r="G312" s="970"/>
      <c r="H312" s="970"/>
      <c r="I312" s="971"/>
    </row>
    <row r="313" spans="1:9" ht="15.6" x14ac:dyDescent="0.3">
      <c r="A313" s="994" t="s">
        <v>13</v>
      </c>
      <c r="B313" s="995"/>
      <c r="C313" s="996" t="s">
        <v>113</v>
      </c>
      <c r="D313" s="997"/>
      <c r="E313" s="997"/>
      <c r="F313" s="997"/>
      <c r="G313" s="997"/>
      <c r="H313" s="997"/>
      <c r="I313" s="998"/>
    </row>
    <row r="314" spans="1:9" ht="15.6" x14ac:dyDescent="0.3">
      <c r="A314" s="999" t="s">
        <v>14</v>
      </c>
      <c r="B314" s="1001" t="s">
        <v>15</v>
      </c>
      <c r="C314" s="1002" t="s">
        <v>16</v>
      </c>
      <c r="D314" s="1004" t="s">
        <v>17</v>
      </c>
      <c r="E314" s="1006" t="s">
        <v>18</v>
      </c>
      <c r="F314" s="1008" t="s">
        <v>19</v>
      </c>
      <c r="G314" s="1009"/>
      <c r="H314" s="1009"/>
      <c r="I314" s="1010"/>
    </row>
    <row r="315" spans="1:9" ht="31.8" thickBot="1" x14ac:dyDescent="0.35">
      <c r="A315" s="1000"/>
      <c r="B315" s="1002"/>
      <c r="C315" s="1003"/>
      <c r="D315" s="1005"/>
      <c r="E315" s="1007"/>
      <c r="F315" s="483" t="s">
        <v>20</v>
      </c>
      <c r="G315" s="483" t="s">
        <v>21</v>
      </c>
      <c r="H315" s="483" t="s">
        <v>22</v>
      </c>
      <c r="I315" s="76" t="s">
        <v>23</v>
      </c>
    </row>
    <row r="316" spans="1:9" ht="16.8" thickTop="1" thickBot="1" x14ac:dyDescent="0.35">
      <c r="A316" s="263"/>
      <c r="B316" s="263"/>
      <c r="C316" s="263"/>
      <c r="D316" s="552"/>
      <c r="E316" s="264"/>
      <c r="F316" s="263"/>
      <c r="G316" s="263"/>
      <c r="H316" s="263"/>
      <c r="I316" s="263"/>
    </row>
    <row r="317" spans="1:9" ht="16.2" thickTop="1" x14ac:dyDescent="0.3">
      <c r="A317" s="588" t="s">
        <v>32</v>
      </c>
      <c r="B317" s="589" t="s">
        <v>144</v>
      </c>
      <c r="C317" s="590" t="s">
        <v>113</v>
      </c>
      <c r="D317" s="591">
        <v>1</v>
      </c>
      <c r="E317" s="592">
        <v>69507</v>
      </c>
      <c r="F317" s="593" t="str">
        <f>IF(A317="MO",D317*E317,"")</f>
        <v/>
      </c>
      <c r="G317" s="593">
        <f>59157*1.19</f>
        <v>70396.83</v>
      </c>
      <c r="H317" s="593" t="str">
        <f>IF(A317="HE",D317*E317,"")</f>
        <v/>
      </c>
      <c r="I317" s="594" t="str">
        <f>IF(A317="OT",D317*E317,"")</f>
        <v/>
      </c>
    </row>
    <row r="318" spans="1:9" ht="15.6" x14ac:dyDescent="0.3">
      <c r="A318" s="588" t="s">
        <v>32</v>
      </c>
      <c r="B318" s="589" t="s">
        <v>145</v>
      </c>
      <c r="C318" s="590" t="s">
        <v>113</v>
      </c>
      <c r="D318" s="595">
        <v>1</v>
      </c>
      <c r="E318" s="592">
        <v>75354</v>
      </c>
      <c r="F318" s="593" t="str">
        <f>IF(A318="MO",D318*E318,"")</f>
        <v/>
      </c>
      <c r="G318" s="593">
        <f>68000*1.19</f>
        <v>80920</v>
      </c>
      <c r="H318" s="593" t="str">
        <f>IF(A318="HE",D318*E318,"")</f>
        <v/>
      </c>
      <c r="I318" s="594" t="str">
        <f>IF(A318="OT",D318*E318,"")</f>
        <v/>
      </c>
    </row>
    <row r="319" spans="1:9" ht="15.6" x14ac:dyDescent="0.3">
      <c r="A319" s="596" t="s">
        <v>32</v>
      </c>
      <c r="B319" s="597" t="s">
        <v>146</v>
      </c>
      <c r="C319" s="583" t="s">
        <v>102</v>
      </c>
      <c r="D319" s="598">
        <v>1</v>
      </c>
      <c r="E319" s="599">
        <f>+E306</f>
        <v>91385</v>
      </c>
      <c r="F319" s="600" t="str">
        <f>IF(A319="MO",D319*E319,"")</f>
        <v/>
      </c>
      <c r="G319" s="600">
        <f>IF(A319="MA",D319*E319,"")</f>
        <v>91385</v>
      </c>
      <c r="H319" s="600" t="str">
        <f>IF(A319="HE",D319*E319,"")</f>
        <v/>
      </c>
      <c r="I319" s="601" t="str">
        <f>IF(A319="OT",D319*E319,"")</f>
        <v/>
      </c>
    </row>
    <row r="320" spans="1:9" ht="17.25" customHeight="1" x14ac:dyDescent="0.3">
      <c r="A320" s="80" t="s">
        <v>24</v>
      </c>
      <c r="B320" s="92" t="s">
        <v>233</v>
      </c>
      <c r="C320" s="290" t="s">
        <v>25</v>
      </c>
      <c r="D320" s="556">
        <v>0.2</v>
      </c>
      <c r="E320" s="20">
        <f>+'M.O 2020'!B10</f>
        <v>175344</v>
      </c>
      <c r="F320" s="65">
        <f>IF(A320="MO",D320*E320,"")</f>
        <v>35068.800000000003</v>
      </c>
      <c r="G320" s="83" t="str">
        <f>IF(A320="MA",D320*E320,"")</f>
        <v/>
      </c>
      <c r="H320" s="83" t="str">
        <f>IF(A320="HE",D320*E320,"")</f>
        <v/>
      </c>
      <c r="I320" s="84" t="str">
        <f>IF(A320="OT",D320*E320,"")</f>
        <v/>
      </c>
    </row>
    <row r="321" spans="1:9" ht="15.75" customHeight="1" x14ac:dyDescent="0.3">
      <c r="A321" s="80"/>
      <c r="B321" s="297"/>
      <c r="C321" s="82"/>
      <c r="D321" s="543"/>
      <c r="E321" s="294"/>
      <c r="F321" s="83" t="str">
        <f>IF(A321="MO",D321*E321,"")</f>
        <v/>
      </c>
      <c r="G321" s="83" t="str">
        <f>IF(A321="MA",D321*E321,"")</f>
        <v/>
      </c>
      <c r="H321" s="83" t="str">
        <f>IF(A321="HE",D321*E321,"")</f>
        <v/>
      </c>
      <c r="I321" s="84" t="str">
        <f>IF(A321="OT",D321*E321,"")</f>
        <v/>
      </c>
    </row>
    <row r="322" spans="1:9" ht="48.75" customHeight="1" thickBot="1" x14ac:dyDescent="0.35">
      <c r="A322" s="71"/>
      <c r="B322" s="72" t="s">
        <v>31</v>
      </c>
      <c r="C322" s="73">
        <f>ROUND(SUM(F322:I322),0)</f>
        <v>277771</v>
      </c>
      <c r="D322" s="533" t="str">
        <f>+C313</f>
        <v>Un</v>
      </c>
      <c r="E322" s="86"/>
      <c r="F322" s="74">
        <f>SUM(F317:F321)</f>
        <v>35068.800000000003</v>
      </c>
      <c r="G322" s="74">
        <f>SUM(G317:G321)</f>
        <v>242701.83000000002</v>
      </c>
      <c r="H322" s="74">
        <f>SUM(H317:H321)</f>
        <v>0</v>
      </c>
      <c r="I322" s="75">
        <f>SUM(I317:I321)</f>
        <v>0</v>
      </c>
    </row>
    <row r="323" spans="1:9" ht="15.6" thickTop="1" thickBot="1" x14ac:dyDescent="0.35"/>
    <row r="324" spans="1:9" ht="16.2" thickTop="1" x14ac:dyDescent="0.3">
      <c r="A324" s="1024" t="s">
        <v>35</v>
      </c>
      <c r="B324" s="1025"/>
      <c r="C324" s="1026" t="s">
        <v>147</v>
      </c>
      <c r="D324" s="1027"/>
      <c r="E324" s="1027"/>
      <c r="F324" s="1027"/>
      <c r="G324" s="1027"/>
      <c r="H324" s="1027"/>
      <c r="I324" s="1028"/>
    </row>
    <row r="325" spans="1:9" ht="32.25" customHeight="1" x14ac:dyDescent="0.3">
      <c r="A325" s="1029" t="s">
        <v>12</v>
      </c>
      <c r="B325" s="1030"/>
      <c r="C325" s="1031" t="s">
        <v>385</v>
      </c>
      <c r="D325" s="1032"/>
      <c r="E325" s="1032"/>
      <c r="F325" s="1032"/>
      <c r="G325" s="1032"/>
      <c r="H325" s="1032"/>
      <c r="I325" s="1033"/>
    </row>
    <row r="326" spans="1:9" ht="32.25" customHeight="1" x14ac:dyDescent="0.3">
      <c r="A326" s="1034" t="s">
        <v>13</v>
      </c>
      <c r="B326" s="1035"/>
      <c r="C326" s="1036" t="s">
        <v>7</v>
      </c>
      <c r="D326" s="1037"/>
      <c r="E326" s="1037"/>
      <c r="F326" s="1037"/>
      <c r="G326" s="1037"/>
      <c r="H326" s="1037"/>
      <c r="I326" s="1038"/>
    </row>
    <row r="327" spans="1:9" ht="31.5" customHeight="1" x14ac:dyDescent="0.3">
      <c r="A327" s="1039" t="s">
        <v>14</v>
      </c>
      <c r="B327" s="1041" t="s">
        <v>15</v>
      </c>
      <c r="C327" s="1043" t="s">
        <v>16</v>
      </c>
      <c r="D327" s="1045" t="s">
        <v>17</v>
      </c>
      <c r="E327" s="1047" t="s">
        <v>18</v>
      </c>
      <c r="F327" s="1049" t="s">
        <v>19</v>
      </c>
      <c r="G327" s="1050"/>
      <c r="H327" s="1050"/>
      <c r="I327" s="1051"/>
    </row>
    <row r="328" spans="1:9" ht="31.8" thickBot="1" x14ac:dyDescent="0.35">
      <c r="A328" s="1040"/>
      <c r="B328" s="1042"/>
      <c r="C328" s="1044"/>
      <c r="D328" s="1046"/>
      <c r="E328" s="1048"/>
      <c r="F328" s="484" t="s">
        <v>20</v>
      </c>
      <c r="G328" s="484" t="s">
        <v>21</v>
      </c>
      <c r="H328" s="484" t="s">
        <v>22</v>
      </c>
      <c r="I328" s="333" t="s">
        <v>23</v>
      </c>
    </row>
    <row r="329" spans="1:9" ht="16.8" thickTop="1" thickBot="1" x14ac:dyDescent="0.35">
      <c r="A329" s="265"/>
      <c r="B329" s="266"/>
      <c r="C329" s="265"/>
      <c r="D329" s="544"/>
      <c r="E329" s="267"/>
      <c r="F329" s="265"/>
      <c r="G329" s="265"/>
      <c r="H329" s="265"/>
      <c r="I329" s="265"/>
    </row>
    <row r="330" spans="1:9" ht="16.2" thickTop="1" x14ac:dyDescent="0.3">
      <c r="A330" s="298" t="s">
        <v>32</v>
      </c>
      <c r="B330" s="299" t="s">
        <v>148</v>
      </c>
      <c r="C330" s="300" t="s">
        <v>7</v>
      </c>
      <c r="D330" s="545">
        <v>1.05</v>
      </c>
      <c r="E330" s="337">
        <v>409386</v>
      </c>
      <c r="F330" s="302" t="str">
        <f t="shared" ref="F330:F341" si="86">IF(A330="MO",D330*E330,"")</f>
        <v/>
      </c>
      <c r="G330" s="301">
        <f t="shared" ref="G330:G341" si="87">IF(A330="MA",D330*E330,"")</f>
        <v>429855.30000000005</v>
      </c>
      <c r="H330" s="302" t="str">
        <f t="shared" ref="H330:H341" si="88">IF(A330="HE",D330*E330,"")</f>
        <v/>
      </c>
      <c r="I330" s="303" t="str">
        <f t="shared" ref="I330:I341" si="89">IF(A330="OT",D330*E330,"")</f>
        <v/>
      </c>
    </row>
    <row r="331" spans="1:9" ht="15.6" x14ac:dyDescent="0.3">
      <c r="A331" s="304" t="s">
        <v>26</v>
      </c>
      <c r="B331" s="305" t="s">
        <v>149</v>
      </c>
      <c r="C331" s="306" t="s">
        <v>7</v>
      </c>
      <c r="D331" s="546">
        <v>1</v>
      </c>
      <c r="E331" s="371">
        <f>43000*1.19</f>
        <v>51170</v>
      </c>
      <c r="F331" s="301" t="str">
        <f t="shared" si="86"/>
        <v/>
      </c>
      <c r="G331" s="301" t="str">
        <f t="shared" si="87"/>
        <v/>
      </c>
      <c r="H331" s="301" t="str">
        <f t="shared" si="88"/>
        <v/>
      </c>
      <c r="I331" s="301">
        <f t="shared" si="89"/>
        <v>51170</v>
      </c>
    </row>
    <row r="332" spans="1:9" ht="15.6" x14ac:dyDescent="0.3">
      <c r="A332" s="334" t="s">
        <v>32</v>
      </c>
      <c r="B332" s="335" t="s">
        <v>150</v>
      </c>
      <c r="C332" s="336" t="s">
        <v>4</v>
      </c>
      <c r="D332" s="547">
        <v>6.6</v>
      </c>
      <c r="E332" s="372">
        <f>+'especiales '!D26</f>
        <v>25669.9</v>
      </c>
      <c r="F332" s="337" t="str">
        <f t="shared" si="86"/>
        <v/>
      </c>
      <c r="G332" s="337">
        <f>IF(A332="MA",D332*E332,"")</f>
        <v>169421.34</v>
      </c>
      <c r="H332" s="337" t="str">
        <f t="shared" si="88"/>
        <v/>
      </c>
      <c r="I332" s="337" t="str">
        <f t="shared" si="89"/>
        <v/>
      </c>
    </row>
    <row r="333" spans="1:9" ht="15.6" x14ac:dyDescent="0.3">
      <c r="A333" s="304" t="s">
        <v>32</v>
      </c>
      <c r="B333" s="305" t="s">
        <v>151</v>
      </c>
      <c r="C333" s="306" t="s">
        <v>5</v>
      </c>
      <c r="D333" s="546">
        <v>8</v>
      </c>
      <c r="E333" s="371">
        <v>6767</v>
      </c>
      <c r="F333" s="301" t="str">
        <f t="shared" si="86"/>
        <v/>
      </c>
      <c r="G333" s="301">
        <f t="shared" si="87"/>
        <v>54136</v>
      </c>
      <c r="H333" s="301" t="str">
        <f t="shared" si="88"/>
        <v/>
      </c>
      <c r="I333" s="301" t="str">
        <f t="shared" si="89"/>
        <v/>
      </c>
    </row>
    <row r="334" spans="1:9" ht="36.75" customHeight="1" x14ac:dyDescent="0.3">
      <c r="A334" s="304" t="s">
        <v>32</v>
      </c>
      <c r="B334" s="305" t="s">
        <v>100</v>
      </c>
      <c r="C334" s="306" t="s">
        <v>101</v>
      </c>
      <c r="D334" s="546">
        <v>3</v>
      </c>
      <c r="E334" s="371">
        <v>2850</v>
      </c>
      <c r="F334" s="301" t="str">
        <f t="shared" si="86"/>
        <v/>
      </c>
      <c r="G334" s="301">
        <f t="shared" si="87"/>
        <v>8550</v>
      </c>
      <c r="H334" s="301" t="str">
        <f t="shared" si="88"/>
        <v/>
      </c>
      <c r="I334" s="301" t="str">
        <f t="shared" si="89"/>
        <v/>
      </c>
    </row>
    <row r="335" spans="1:9" ht="15.6" x14ac:dyDescent="0.3">
      <c r="A335" s="304" t="s">
        <v>32</v>
      </c>
      <c r="B335" s="305" t="s">
        <v>41</v>
      </c>
      <c r="C335" s="306" t="s">
        <v>102</v>
      </c>
      <c r="D335" s="546">
        <v>1.5</v>
      </c>
      <c r="E335" s="371">
        <v>8923</v>
      </c>
      <c r="F335" s="301" t="str">
        <f t="shared" si="86"/>
        <v/>
      </c>
      <c r="G335" s="301">
        <f t="shared" si="87"/>
        <v>13384.5</v>
      </c>
      <c r="H335" s="301" t="str">
        <f t="shared" si="88"/>
        <v/>
      </c>
      <c r="I335" s="301" t="str">
        <f t="shared" si="89"/>
        <v/>
      </c>
    </row>
    <row r="336" spans="1:9" ht="15.6" x14ac:dyDescent="0.3">
      <c r="A336" s="334" t="s">
        <v>32</v>
      </c>
      <c r="B336" s="335" t="s">
        <v>103</v>
      </c>
      <c r="C336" s="336" t="s">
        <v>5</v>
      </c>
      <c r="D336" s="547">
        <v>15</v>
      </c>
      <c r="E336" s="372">
        <v>1200</v>
      </c>
      <c r="F336" s="337" t="str">
        <f t="shared" si="86"/>
        <v/>
      </c>
      <c r="G336" s="337">
        <f t="shared" si="87"/>
        <v>18000</v>
      </c>
      <c r="H336" s="337" t="str">
        <f t="shared" si="88"/>
        <v/>
      </c>
      <c r="I336" s="337" t="str">
        <f t="shared" si="89"/>
        <v/>
      </c>
    </row>
    <row r="337" spans="1:9" ht="15.6" x14ac:dyDescent="0.3">
      <c r="A337" s="304" t="s">
        <v>24</v>
      </c>
      <c r="B337" s="305" t="s">
        <v>824</v>
      </c>
      <c r="C337" s="306" t="s">
        <v>25</v>
      </c>
      <c r="D337" s="546">
        <v>0.2</v>
      </c>
      <c r="E337" s="371">
        <f>+'M.O 2020'!B16</f>
        <v>472384</v>
      </c>
      <c r="F337" s="301">
        <f t="shared" si="86"/>
        <v>94476.800000000003</v>
      </c>
      <c r="G337" s="301" t="str">
        <f t="shared" si="87"/>
        <v/>
      </c>
      <c r="H337" s="301" t="str">
        <f t="shared" si="88"/>
        <v/>
      </c>
      <c r="I337" s="301" t="str">
        <f t="shared" si="89"/>
        <v/>
      </c>
    </row>
    <row r="338" spans="1:9" ht="15.6" x14ac:dyDescent="0.3">
      <c r="A338" s="375" t="s">
        <v>29</v>
      </c>
      <c r="B338" s="377" t="s">
        <v>304</v>
      </c>
      <c r="C338" s="383" t="s">
        <v>289</v>
      </c>
      <c r="D338" s="520">
        <v>2.4</v>
      </c>
      <c r="E338" s="321">
        <f>+$C$990</f>
        <v>8250.6174612024897</v>
      </c>
      <c r="F338" s="322" t="str">
        <f>IF(A338="MO",D338*E338,"")</f>
        <v/>
      </c>
      <c r="G338" s="322" t="str">
        <f>IF(A338="MA",D338*E338,"")</f>
        <v/>
      </c>
      <c r="H338" s="322">
        <f>IF(A338="HE",D338*E338,"")</f>
        <v>19801.481906885976</v>
      </c>
      <c r="I338" s="323" t="str">
        <f>IF(A338="OT",D338*E338,"")</f>
        <v/>
      </c>
    </row>
    <row r="339" spans="1:9" ht="15.6" x14ac:dyDescent="0.3">
      <c r="A339" s="334" t="s">
        <v>29</v>
      </c>
      <c r="B339" s="335" t="s">
        <v>30</v>
      </c>
      <c r="C339" s="336" t="s">
        <v>28</v>
      </c>
      <c r="D339" s="547">
        <v>0.1</v>
      </c>
      <c r="E339" s="372">
        <f>F337</f>
        <v>94476.800000000003</v>
      </c>
      <c r="F339" s="337" t="str">
        <f t="shared" si="86"/>
        <v/>
      </c>
      <c r="G339" s="337" t="str">
        <f t="shared" si="87"/>
        <v/>
      </c>
      <c r="H339" s="337">
        <f t="shared" si="88"/>
        <v>9447.68</v>
      </c>
      <c r="I339" s="337" t="str">
        <f t="shared" si="89"/>
        <v/>
      </c>
    </row>
    <row r="340" spans="1:9" ht="15.75" customHeight="1" x14ac:dyDescent="0.3">
      <c r="A340" s="334" t="s">
        <v>26</v>
      </c>
      <c r="B340" s="335" t="s">
        <v>27</v>
      </c>
      <c r="C340" s="336" t="s">
        <v>28</v>
      </c>
      <c r="D340" s="547">
        <v>0.1</v>
      </c>
      <c r="E340" s="372">
        <f>F337</f>
        <v>94476.800000000003</v>
      </c>
      <c r="F340" s="337" t="str">
        <f t="shared" si="86"/>
        <v/>
      </c>
      <c r="G340" s="337" t="str">
        <f t="shared" si="87"/>
        <v/>
      </c>
      <c r="H340" s="337" t="str">
        <f t="shared" si="88"/>
        <v/>
      </c>
      <c r="I340" s="337">
        <f t="shared" si="89"/>
        <v>9447.68</v>
      </c>
    </row>
    <row r="341" spans="1:9" ht="15.75" customHeight="1" x14ac:dyDescent="0.3">
      <c r="A341" s="334" t="s">
        <v>29</v>
      </c>
      <c r="B341" s="335" t="s">
        <v>107</v>
      </c>
      <c r="C341" s="336" t="s">
        <v>25</v>
      </c>
      <c r="D341" s="547">
        <v>0.25</v>
      </c>
      <c r="E341" s="372">
        <v>40653</v>
      </c>
      <c r="F341" s="337" t="str">
        <f t="shared" si="86"/>
        <v/>
      </c>
      <c r="G341" s="337" t="str">
        <f t="shared" si="87"/>
        <v/>
      </c>
      <c r="H341" s="337">
        <f t="shared" si="88"/>
        <v>10163.25</v>
      </c>
      <c r="I341" s="337" t="str">
        <f t="shared" si="89"/>
        <v/>
      </c>
    </row>
    <row r="342" spans="1:9" ht="31.2" x14ac:dyDescent="0.3">
      <c r="A342" s="334" t="s">
        <v>26</v>
      </c>
      <c r="B342" s="335" t="s">
        <v>835</v>
      </c>
      <c r="C342" s="336" t="s">
        <v>210</v>
      </c>
      <c r="D342" s="547">
        <v>3</v>
      </c>
      <c r="E342" s="372">
        <v>1766</v>
      </c>
      <c r="F342" s="337" t="s">
        <v>153</v>
      </c>
      <c r="G342" s="337" t="s">
        <v>153</v>
      </c>
      <c r="H342" s="337">
        <f>D342*E342</f>
        <v>5298</v>
      </c>
      <c r="I342" s="337"/>
    </row>
    <row r="343" spans="1:9" ht="15.6" x14ac:dyDescent="0.3">
      <c r="A343" s="338"/>
      <c r="B343" s="335"/>
      <c r="C343" s="339"/>
      <c r="D343" s="548"/>
      <c r="E343" s="372"/>
      <c r="F343" s="340"/>
      <c r="G343" s="340"/>
      <c r="H343" s="340"/>
      <c r="I343" s="341"/>
    </row>
    <row r="344" spans="1:9" ht="16.2" thickBot="1" x14ac:dyDescent="0.35">
      <c r="A344" s="342"/>
      <c r="B344" s="343" t="s">
        <v>31</v>
      </c>
      <c r="C344" s="344">
        <f>ROUND(SUM(F344:I344),0)</f>
        <v>893152</v>
      </c>
      <c r="D344" s="522" t="str">
        <f>+C326</f>
        <v>m3</v>
      </c>
      <c r="E344" s="345"/>
      <c r="F344" s="346">
        <f>SUM(F330:F343)</f>
        <v>94476.800000000003</v>
      </c>
      <c r="G344" s="346">
        <f>SUM(G330:G343)</f>
        <v>693347.14</v>
      </c>
      <c r="H344" s="346">
        <f>SUM(H330:H343)</f>
        <v>44710.411906885973</v>
      </c>
      <c r="I344" s="347">
        <f>SUM(I330:I343)</f>
        <v>60617.68</v>
      </c>
    </row>
    <row r="345" spans="1:9" ht="15.6" thickTop="1" thickBot="1" x14ac:dyDescent="0.35"/>
    <row r="346" spans="1:9" ht="33.75" customHeight="1" thickTop="1" x14ac:dyDescent="0.3">
      <c r="A346" s="854" t="s">
        <v>39</v>
      </c>
      <c r="B346" s="855"/>
      <c r="C346" s="856" t="s">
        <v>237</v>
      </c>
      <c r="D346" s="856"/>
      <c r="E346" s="856"/>
      <c r="F346" s="856"/>
      <c r="G346" s="856"/>
      <c r="H346" s="856"/>
      <c r="I346" s="857"/>
    </row>
    <row r="347" spans="1:9" ht="15.6" x14ac:dyDescent="0.3">
      <c r="A347" s="858" t="s">
        <v>12</v>
      </c>
      <c r="B347" s="859"/>
      <c r="C347" s="860" t="s">
        <v>386</v>
      </c>
      <c r="D347" s="860"/>
      <c r="E347" s="860"/>
      <c r="F347" s="860"/>
      <c r="G347" s="860"/>
      <c r="H347" s="860"/>
      <c r="I347" s="861"/>
    </row>
    <row r="348" spans="1:9" ht="15.6" x14ac:dyDescent="0.3">
      <c r="A348" s="858" t="s">
        <v>13</v>
      </c>
      <c r="B348" s="859"/>
      <c r="C348" s="860" t="s">
        <v>113</v>
      </c>
      <c r="D348" s="860"/>
      <c r="E348" s="860"/>
      <c r="F348" s="860"/>
      <c r="G348" s="860"/>
      <c r="H348" s="860"/>
      <c r="I348" s="861"/>
    </row>
    <row r="349" spans="1:9" ht="15.6" x14ac:dyDescent="0.3">
      <c r="A349" s="862" t="s">
        <v>14</v>
      </c>
      <c r="B349" s="848" t="s">
        <v>15</v>
      </c>
      <c r="C349" s="848" t="s">
        <v>16</v>
      </c>
      <c r="D349" s="865" t="s">
        <v>17</v>
      </c>
      <c r="E349" s="867" t="s">
        <v>18</v>
      </c>
      <c r="F349" s="848" t="s">
        <v>19</v>
      </c>
      <c r="G349" s="848"/>
      <c r="H349" s="848"/>
      <c r="I349" s="869"/>
    </row>
    <row r="350" spans="1:9" ht="31.8" thickBot="1" x14ac:dyDescent="0.35">
      <c r="A350" s="863"/>
      <c r="B350" s="864"/>
      <c r="C350" s="864"/>
      <c r="D350" s="866"/>
      <c r="E350" s="868"/>
      <c r="F350" s="480" t="s">
        <v>20</v>
      </c>
      <c r="G350" s="480" t="s">
        <v>21</v>
      </c>
      <c r="H350" s="480" t="s">
        <v>22</v>
      </c>
      <c r="I350" s="14" t="s">
        <v>23</v>
      </c>
    </row>
    <row r="351" spans="1:9" ht="16.8" thickTop="1" thickBot="1" x14ac:dyDescent="0.35">
      <c r="A351" s="9"/>
      <c r="B351" s="9"/>
      <c r="C351" s="9"/>
      <c r="D351" s="513"/>
      <c r="E351" s="10"/>
      <c r="F351" s="9"/>
      <c r="G351" s="9"/>
      <c r="H351" s="9"/>
      <c r="I351" s="9"/>
    </row>
    <row r="352" spans="1:9" ht="31.5" customHeight="1" thickTop="1" x14ac:dyDescent="0.3">
      <c r="A352" s="19" t="s">
        <v>32</v>
      </c>
      <c r="B352" s="13" t="s">
        <v>238</v>
      </c>
      <c r="C352" s="12" t="s">
        <v>7</v>
      </c>
      <c r="D352" s="523">
        <v>0.96</v>
      </c>
      <c r="E352" s="20">
        <v>364530</v>
      </c>
      <c r="F352" s="21" t="str">
        <f t="shared" ref="F352:F356" si="90">IF(A352="MO",D352*E352,"")</f>
        <v/>
      </c>
      <c r="G352" s="21">
        <f t="shared" ref="G352:G356" si="91">IF(A352="MA",D352*E352,"")</f>
        <v>349948.8</v>
      </c>
      <c r="H352" s="21" t="str">
        <f t="shared" ref="H352:H356" si="92">IF(A352="HE",D352*E352,"")</f>
        <v/>
      </c>
      <c r="I352" s="22" t="str">
        <f t="shared" ref="I352:I356" si="93">IF(A352="OT",D352*E352,"")</f>
        <v/>
      </c>
    </row>
    <row r="353" spans="1:9" ht="15.6" x14ac:dyDescent="0.3">
      <c r="A353" s="15" t="s">
        <v>29</v>
      </c>
      <c r="B353" s="11" t="s">
        <v>304</v>
      </c>
      <c r="C353" s="16" t="s">
        <v>289</v>
      </c>
      <c r="D353" s="515">
        <v>2.4</v>
      </c>
      <c r="E353" s="20">
        <f>+$C$990</f>
        <v>8250.6174612024897</v>
      </c>
      <c r="F353" s="21" t="str">
        <f>IF(A353="MO",D353*E353,"")</f>
        <v/>
      </c>
      <c r="G353" s="21" t="str">
        <f>IF(A353="MA",D353*E353,"")</f>
        <v/>
      </c>
      <c r="H353" s="21">
        <f>IF(A353="HE",D353*E353,"")</f>
        <v>19801.481906885976</v>
      </c>
      <c r="I353" s="22" t="str">
        <f>IF(A353="OT",D353*E353,"")</f>
        <v/>
      </c>
    </row>
    <row r="354" spans="1:9" ht="15.6" x14ac:dyDescent="0.3">
      <c r="A354" s="19" t="s">
        <v>24</v>
      </c>
      <c r="B354" s="13" t="s">
        <v>233</v>
      </c>
      <c r="C354" s="12" t="s">
        <v>25</v>
      </c>
      <c r="D354" s="523">
        <v>0.35</v>
      </c>
      <c r="E354" s="20">
        <f>+'M.O 2020'!B10</f>
        <v>175344</v>
      </c>
      <c r="F354" s="21">
        <f t="shared" si="90"/>
        <v>61370.399999999994</v>
      </c>
      <c r="G354" s="21" t="str">
        <f t="shared" si="91"/>
        <v/>
      </c>
      <c r="H354" s="21" t="str">
        <f t="shared" si="92"/>
        <v/>
      </c>
      <c r="I354" s="22" t="str">
        <f t="shared" si="93"/>
        <v/>
      </c>
    </row>
    <row r="355" spans="1:9" ht="15.6" x14ac:dyDescent="0.3">
      <c r="A355" s="19" t="s">
        <v>29</v>
      </c>
      <c r="B355" s="13" t="s">
        <v>30</v>
      </c>
      <c r="C355" s="12" t="s">
        <v>28</v>
      </c>
      <c r="D355" s="524">
        <v>0.05</v>
      </c>
      <c r="E355" s="20">
        <f>F354</f>
        <v>61370.399999999994</v>
      </c>
      <c r="F355" s="21" t="str">
        <f t="shared" si="90"/>
        <v/>
      </c>
      <c r="G355" s="21" t="str">
        <f t="shared" si="91"/>
        <v/>
      </c>
      <c r="H355" s="21">
        <f t="shared" si="92"/>
        <v>3068.52</v>
      </c>
      <c r="I355" s="22" t="str">
        <f t="shared" si="93"/>
        <v/>
      </c>
    </row>
    <row r="356" spans="1:9" ht="15.6" x14ac:dyDescent="0.3">
      <c r="A356" s="19"/>
      <c r="B356" s="488"/>
      <c r="C356" s="12"/>
      <c r="D356" s="523"/>
      <c r="E356" s="20"/>
      <c r="F356" s="21" t="str">
        <f t="shared" si="90"/>
        <v/>
      </c>
      <c r="G356" s="21" t="str">
        <f t="shared" si="91"/>
        <v/>
      </c>
      <c r="H356" s="21" t="str">
        <f t="shared" si="92"/>
        <v/>
      </c>
      <c r="I356" s="22" t="str">
        <f t="shared" si="93"/>
        <v/>
      </c>
    </row>
    <row r="357" spans="1:9" ht="35.25" customHeight="1" thickBot="1" x14ac:dyDescent="0.35">
      <c r="A357" s="23"/>
      <c r="B357" s="24" t="s">
        <v>31</v>
      </c>
      <c r="C357" s="25">
        <f>ROUND(SUM(F357:I357),0)</f>
        <v>434189</v>
      </c>
      <c r="D357" s="516" t="str">
        <f>+C348</f>
        <v>Un</v>
      </c>
      <c r="E357" s="26"/>
      <c r="F357" s="27">
        <f>SUM(F352:F356)</f>
        <v>61370.399999999994</v>
      </c>
      <c r="G357" s="27">
        <f>SUM(G352:G356)</f>
        <v>349948.8</v>
      </c>
      <c r="H357" s="27">
        <f>SUM(H352:H356)</f>
        <v>22870.001906885976</v>
      </c>
      <c r="I357" s="28">
        <f>SUM(I352:I356)</f>
        <v>0</v>
      </c>
    </row>
    <row r="358" spans="1:9" ht="16.8" thickTop="1" thickBot="1" x14ac:dyDescent="0.35">
      <c r="A358" s="236"/>
      <c r="B358" s="237"/>
      <c r="C358" s="237"/>
      <c r="D358" s="525"/>
      <c r="E358" s="238"/>
      <c r="F358" s="237"/>
      <c r="G358" s="237"/>
      <c r="H358" s="237"/>
      <c r="I358" s="237"/>
    </row>
    <row r="359" spans="1:9" ht="16.2" thickTop="1" x14ac:dyDescent="0.3">
      <c r="A359" s="854" t="s">
        <v>39</v>
      </c>
      <c r="B359" s="855"/>
      <c r="C359" s="856" t="s">
        <v>239</v>
      </c>
      <c r="D359" s="856"/>
      <c r="E359" s="856"/>
      <c r="F359" s="856"/>
      <c r="G359" s="856"/>
      <c r="H359" s="856"/>
      <c r="I359" s="857"/>
    </row>
    <row r="360" spans="1:9" ht="15.6" x14ac:dyDescent="0.3">
      <c r="A360" s="858" t="s">
        <v>12</v>
      </c>
      <c r="B360" s="859"/>
      <c r="C360" s="860" t="s">
        <v>241</v>
      </c>
      <c r="D360" s="860"/>
      <c r="E360" s="860"/>
      <c r="F360" s="860"/>
      <c r="G360" s="860"/>
      <c r="H360" s="860"/>
      <c r="I360" s="861"/>
    </row>
    <row r="361" spans="1:9" ht="15.6" x14ac:dyDescent="0.3">
      <c r="A361" s="858" t="s">
        <v>13</v>
      </c>
      <c r="B361" s="859"/>
      <c r="C361" s="860" t="s">
        <v>5</v>
      </c>
      <c r="D361" s="860"/>
      <c r="E361" s="860"/>
      <c r="F361" s="860"/>
      <c r="G361" s="860"/>
      <c r="H361" s="860"/>
      <c r="I361" s="861"/>
    </row>
    <row r="362" spans="1:9" ht="31.5" customHeight="1" x14ac:dyDescent="0.3">
      <c r="A362" s="862" t="s">
        <v>14</v>
      </c>
      <c r="B362" s="848" t="s">
        <v>15</v>
      </c>
      <c r="C362" s="848" t="s">
        <v>16</v>
      </c>
      <c r="D362" s="865" t="s">
        <v>17</v>
      </c>
      <c r="E362" s="867" t="s">
        <v>18</v>
      </c>
      <c r="F362" s="848" t="s">
        <v>19</v>
      </c>
      <c r="G362" s="848"/>
      <c r="H362" s="848"/>
      <c r="I362" s="869"/>
    </row>
    <row r="363" spans="1:9" ht="31.8" thickBot="1" x14ac:dyDescent="0.35">
      <c r="A363" s="863"/>
      <c r="B363" s="864"/>
      <c r="C363" s="864"/>
      <c r="D363" s="866"/>
      <c r="E363" s="868"/>
      <c r="F363" s="480" t="s">
        <v>20</v>
      </c>
      <c r="G363" s="480" t="s">
        <v>21</v>
      </c>
      <c r="H363" s="480" t="s">
        <v>22</v>
      </c>
      <c r="I363" s="14" t="s">
        <v>23</v>
      </c>
    </row>
    <row r="364" spans="1:9" ht="16.8" thickTop="1" thickBot="1" x14ac:dyDescent="0.35">
      <c r="A364" s="9"/>
      <c r="B364" s="9"/>
      <c r="C364" s="9"/>
      <c r="D364" s="513"/>
      <c r="E364" s="10"/>
      <c r="F364" s="9"/>
      <c r="G364" s="9"/>
      <c r="H364" s="9"/>
      <c r="I364" s="9"/>
    </row>
    <row r="365" spans="1:9" ht="31.8" thickTop="1" x14ac:dyDescent="0.3">
      <c r="A365" s="15" t="s">
        <v>32</v>
      </c>
      <c r="B365" s="11" t="s">
        <v>238</v>
      </c>
      <c r="C365" s="16" t="s">
        <v>7</v>
      </c>
      <c r="D365" s="515">
        <v>1.07</v>
      </c>
      <c r="E365" s="20">
        <f>+E352</f>
        <v>364530</v>
      </c>
      <c r="F365" s="17" t="str">
        <f>IF(A365="MO",D365*E365,"")</f>
        <v/>
      </c>
      <c r="G365" s="17">
        <f>IF(A365="MA",D365*E365,"")</f>
        <v>390047.10000000003</v>
      </c>
      <c r="H365" s="17" t="str">
        <f>IF(A365="HE",D365*E365,"")</f>
        <v/>
      </c>
      <c r="I365" s="18" t="str">
        <f>IF(A365="OT",D365*E365,"")</f>
        <v/>
      </c>
    </row>
    <row r="366" spans="1:9" ht="15.6" x14ac:dyDescent="0.3">
      <c r="A366" s="15" t="s">
        <v>29</v>
      </c>
      <c r="B366" s="11" t="s">
        <v>304</v>
      </c>
      <c r="C366" s="16" t="s">
        <v>289</v>
      </c>
      <c r="D366" s="515">
        <v>2.4</v>
      </c>
      <c r="E366" s="20">
        <f>+$C$990</f>
        <v>8250.6174612024897</v>
      </c>
      <c r="F366" s="21" t="str">
        <f>IF(A366="MO",D366*E366,"")</f>
        <v/>
      </c>
      <c r="G366" s="21" t="str">
        <f>IF(A366="MA",D366*E366,"")</f>
        <v/>
      </c>
      <c r="H366" s="21">
        <f>IF(A366="HE",D366*E366,"")</f>
        <v>19801.481906885976</v>
      </c>
      <c r="I366" s="22" t="str">
        <f>IF(A366="OT",D366*E366,"")</f>
        <v/>
      </c>
    </row>
    <row r="367" spans="1:9" ht="15.6" x14ac:dyDescent="0.3">
      <c r="A367" s="19" t="s">
        <v>24</v>
      </c>
      <c r="B367" s="13" t="s">
        <v>833</v>
      </c>
      <c r="C367" s="12" t="s">
        <v>25</v>
      </c>
      <c r="D367" s="523">
        <v>0.6</v>
      </c>
      <c r="E367" s="20">
        <f>+'M.O 2020'!B12</f>
        <v>297040</v>
      </c>
      <c r="F367" s="21">
        <f>IF(A367="MO",D367*E367,"")</f>
        <v>178224</v>
      </c>
      <c r="G367" s="21" t="str">
        <f>IF(A367="MA",D367*E367,"")</f>
        <v/>
      </c>
      <c r="H367" s="21" t="str">
        <f>IF(A367="HE",D367*E367,"")</f>
        <v/>
      </c>
      <c r="I367" s="22" t="str">
        <f>IF(A367="OT",D367*E367,"")</f>
        <v/>
      </c>
    </row>
    <row r="368" spans="1:9" ht="15.6" x14ac:dyDescent="0.3">
      <c r="A368" s="19" t="s">
        <v>29</v>
      </c>
      <c r="B368" s="13" t="s">
        <v>240</v>
      </c>
      <c r="C368" s="12" t="s">
        <v>25</v>
      </c>
      <c r="D368" s="523">
        <v>1</v>
      </c>
      <c r="E368" s="20">
        <v>20158</v>
      </c>
      <c r="F368" s="21" t="str">
        <f>IF(A368="MO",D368*E368,"")</f>
        <v/>
      </c>
      <c r="G368" s="21" t="str">
        <f>IF(A368="MA",D368*E368,"")</f>
        <v/>
      </c>
      <c r="H368" s="21">
        <f>IF(A368="HE",D368*E368,"")</f>
        <v>20158</v>
      </c>
      <c r="I368" s="22" t="str">
        <f>IF(A368="OT",D368*E368,"")</f>
        <v/>
      </c>
    </row>
    <row r="369" spans="1:9" ht="15.6" x14ac:dyDescent="0.3">
      <c r="A369" s="19" t="s">
        <v>32</v>
      </c>
      <c r="B369" s="13" t="s">
        <v>242</v>
      </c>
      <c r="C369" s="12" t="s">
        <v>235</v>
      </c>
      <c r="D369" s="523">
        <v>3</v>
      </c>
      <c r="E369" s="20">
        <v>38571</v>
      </c>
      <c r="F369" s="21" t="str">
        <f t="shared" ref="F369:F370" si="94">IF(A369="MO",D369*E369,"")</f>
        <v/>
      </c>
      <c r="G369" s="21">
        <f t="shared" ref="G369:G370" si="95">IF(A369="MA",D369*E369,"")</f>
        <v>115713</v>
      </c>
      <c r="H369" s="21" t="str">
        <f t="shared" ref="H369:H370" si="96">IF(A369="HE",D369*E369,"")</f>
        <v/>
      </c>
      <c r="I369" s="22" t="str">
        <f t="shared" ref="I369:I370" si="97">IF(A369="OT",D369*E369,"")</f>
        <v/>
      </c>
    </row>
    <row r="370" spans="1:9" ht="15.6" x14ac:dyDescent="0.3">
      <c r="A370" s="19" t="s">
        <v>32</v>
      </c>
      <c r="B370" s="13" t="s">
        <v>243</v>
      </c>
      <c r="C370" s="12" t="s">
        <v>235</v>
      </c>
      <c r="D370" s="523">
        <v>2</v>
      </c>
      <c r="E370" s="20">
        <v>5740</v>
      </c>
      <c r="F370" s="21" t="str">
        <f t="shared" si="94"/>
        <v/>
      </c>
      <c r="G370" s="21">
        <f t="shared" si="95"/>
        <v>11480</v>
      </c>
      <c r="H370" s="21" t="str">
        <f t="shared" si="96"/>
        <v/>
      </c>
      <c r="I370" s="22" t="str">
        <f t="shared" si="97"/>
        <v/>
      </c>
    </row>
    <row r="371" spans="1:9" ht="15.6" x14ac:dyDescent="0.3">
      <c r="A371" s="19" t="s">
        <v>29</v>
      </c>
      <c r="B371" s="13" t="s">
        <v>30</v>
      </c>
      <c r="C371" s="12" t="s">
        <v>28</v>
      </c>
      <c r="D371" s="524">
        <v>0.05</v>
      </c>
      <c r="E371" s="20">
        <f>+F367</f>
        <v>178224</v>
      </c>
      <c r="F371" s="21" t="str">
        <f>IF(A371="MO",D371*E371,"")</f>
        <v/>
      </c>
      <c r="G371" s="21" t="str">
        <f>IF(A371="MA",D371*E371,"")</f>
        <v/>
      </c>
      <c r="H371" s="21">
        <f>IF(A371="HE",D371*E371,"")</f>
        <v>8911.2000000000007</v>
      </c>
      <c r="I371" s="22" t="str">
        <f>IF(A371="OT",D371*E371,"")</f>
        <v/>
      </c>
    </row>
    <row r="372" spans="1:9" ht="15.75" customHeight="1" x14ac:dyDescent="0.3">
      <c r="A372" s="19" t="s">
        <v>29</v>
      </c>
      <c r="B372" s="13" t="s">
        <v>244</v>
      </c>
      <c r="C372" s="12" t="s">
        <v>235</v>
      </c>
      <c r="D372" s="523">
        <v>0.5</v>
      </c>
      <c r="E372" s="20">
        <v>2850</v>
      </c>
      <c r="F372" s="21" t="str">
        <f>IF(A372="MO",D372*E372,"")</f>
        <v/>
      </c>
      <c r="G372" s="21" t="str">
        <f>IF(A372="MA",D372*E372,"")</f>
        <v/>
      </c>
      <c r="H372" s="21">
        <f>IF(A372="HE",D372*E372,"")</f>
        <v>1425</v>
      </c>
      <c r="I372" s="22" t="str">
        <f>IF(A372="OT",D372*E372,"")</f>
        <v/>
      </c>
    </row>
    <row r="373" spans="1:9" ht="15.6" x14ac:dyDescent="0.3">
      <c r="A373" s="19" t="s">
        <v>29</v>
      </c>
      <c r="B373" s="13" t="s">
        <v>245</v>
      </c>
      <c r="C373" s="12" t="s">
        <v>235</v>
      </c>
      <c r="D373" s="523">
        <v>1.9E-2</v>
      </c>
      <c r="E373" s="20">
        <v>299077</v>
      </c>
      <c r="F373" s="21" t="str">
        <f>IF(A373="MO",D373*E373,"")</f>
        <v/>
      </c>
      <c r="G373" s="21" t="str">
        <f>IF(A373="MA",D373*E373,"")</f>
        <v/>
      </c>
      <c r="H373" s="21">
        <f>IF(A373="HE",D373*E373,"")</f>
        <v>5682.4629999999997</v>
      </c>
      <c r="I373" s="22" t="str">
        <f>IF(A373="OT",D373*E373,"")</f>
        <v/>
      </c>
    </row>
    <row r="374" spans="1:9" ht="15.6" x14ac:dyDescent="0.3">
      <c r="A374" s="19"/>
      <c r="B374" s="488"/>
      <c r="C374" s="12"/>
      <c r="D374" s="523"/>
      <c r="E374" s="20"/>
      <c r="F374" s="21" t="str">
        <f>IF(A374="MO",D374*E374,"")</f>
        <v/>
      </c>
      <c r="G374" s="21" t="str">
        <f>IF(A374="MA",D374*E374,"")</f>
        <v/>
      </c>
      <c r="H374" s="21" t="str">
        <f>IF(A374="HE",D374*E374,"")</f>
        <v/>
      </c>
      <c r="I374" s="22" t="str">
        <f>IF(A374="OT",D374*E374,"")</f>
        <v/>
      </c>
    </row>
    <row r="375" spans="1:9" ht="16.2" thickBot="1" x14ac:dyDescent="0.35">
      <c r="A375" s="23"/>
      <c r="B375" s="24" t="s">
        <v>31</v>
      </c>
      <c r="C375" s="25">
        <f>ROUND(SUM(F375:I375),0)</f>
        <v>751442</v>
      </c>
      <c r="D375" s="516" t="str">
        <f>+C361</f>
        <v>m</v>
      </c>
      <c r="E375" s="26"/>
      <c r="F375" s="27">
        <f>SUM(F365:F374)</f>
        <v>178224</v>
      </c>
      <c r="G375" s="27">
        <f>SUM(G365:G374)</f>
        <v>517240.10000000003</v>
      </c>
      <c r="H375" s="27">
        <f>SUM(H365:H374)</f>
        <v>55978.14490688598</v>
      </c>
      <c r="I375" s="28">
        <f>SUM(I365:I374)</f>
        <v>0</v>
      </c>
    </row>
    <row r="376" spans="1:9" ht="15.75" customHeight="1" thickTop="1" thickBot="1" x14ac:dyDescent="0.35">
      <c r="A376" s="236"/>
      <c r="B376" s="237"/>
      <c r="C376" s="237"/>
      <c r="D376" s="525"/>
      <c r="E376" s="238"/>
      <c r="F376" s="237"/>
      <c r="G376" s="237"/>
      <c r="H376" s="237"/>
      <c r="I376" s="237"/>
    </row>
    <row r="377" spans="1:9" ht="16.2" thickTop="1" x14ac:dyDescent="0.3">
      <c r="A377" s="1011" t="s">
        <v>39</v>
      </c>
      <c r="B377" s="1052"/>
      <c r="C377" s="1053" t="s">
        <v>154</v>
      </c>
      <c r="D377" s="1054"/>
      <c r="E377" s="1054"/>
      <c r="F377" s="1054"/>
      <c r="G377" s="1054"/>
      <c r="H377" s="1054"/>
      <c r="I377" s="1055"/>
    </row>
    <row r="378" spans="1:9" ht="48.75" customHeight="1" x14ac:dyDescent="0.3">
      <c r="A378" s="1013" t="s">
        <v>12</v>
      </c>
      <c r="B378" s="1056"/>
      <c r="C378" s="969" t="s">
        <v>387</v>
      </c>
      <c r="D378" s="970"/>
      <c r="E378" s="970"/>
      <c r="F378" s="970"/>
      <c r="G378" s="970"/>
      <c r="H378" s="970"/>
      <c r="I378" s="971"/>
    </row>
    <row r="379" spans="1:9" ht="15.6" x14ac:dyDescent="0.3">
      <c r="A379" s="1013" t="s">
        <v>13</v>
      </c>
      <c r="B379" s="1056"/>
      <c r="C379" s="1057" t="s">
        <v>113</v>
      </c>
      <c r="D379" s="1057"/>
      <c r="E379" s="1057"/>
      <c r="F379" s="1057"/>
      <c r="G379" s="1057"/>
      <c r="H379" s="1057"/>
      <c r="I379" s="1058"/>
    </row>
    <row r="380" spans="1:9" ht="15.6" x14ac:dyDescent="0.3">
      <c r="A380" s="977" t="s">
        <v>14</v>
      </c>
      <c r="B380" s="979" t="s">
        <v>15</v>
      </c>
      <c r="C380" s="1059" t="s">
        <v>16</v>
      </c>
      <c r="D380" s="1060" t="s">
        <v>17</v>
      </c>
      <c r="E380" s="1061" t="s">
        <v>18</v>
      </c>
      <c r="F380" s="1059" t="s">
        <v>19</v>
      </c>
      <c r="G380" s="1059"/>
      <c r="H380" s="1059"/>
      <c r="I380" s="1062"/>
    </row>
    <row r="381" spans="1:9" ht="31.8" thickBot="1" x14ac:dyDescent="0.35">
      <c r="A381" s="978"/>
      <c r="B381" s="980"/>
      <c r="C381" s="979"/>
      <c r="D381" s="982"/>
      <c r="E381" s="1016"/>
      <c r="F381" s="482" t="s">
        <v>20</v>
      </c>
      <c r="G381" s="482" t="s">
        <v>21</v>
      </c>
      <c r="H381" s="482" t="s">
        <v>22</v>
      </c>
      <c r="I381" s="57" t="s">
        <v>23</v>
      </c>
    </row>
    <row r="382" spans="1:9" ht="16.8" thickTop="1" thickBot="1" x14ac:dyDescent="0.35">
      <c r="A382" s="58"/>
      <c r="B382" s="59"/>
      <c r="C382" s="59"/>
      <c r="D382" s="531"/>
      <c r="E382" s="278"/>
      <c r="F382" s="59"/>
      <c r="G382" s="59"/>
      <c r="H382" s="59"/>
      <c r="I382" s="59"/>
    </row>
    <row r="383" spans="1:9" ht="16.2" thickTop="1" x14ac:dyDescent="0.3">
      <c r="A383" s="64" t="s">
        <v>32</v>
      </c>
      <c r="B383" s="61" t="s">
        <v>246</v>
      </c>
      <c r="C383" s="276" t="s">
        <v>235</v>
      </c>
      <c r="D383" s="542">
        <v>0.01</v>
      </c>
      <c r="E383" s="20">
        <v>125783</v>
      </c>
      <c r="F383" s="279" t="str">
        <f t="shared" ref="F383" si="98">IF(A383="MO",D383*E383,"")</f>
        <v/>
      </c>
      <c r="G383" s="279">
        <f t="shared" ref="G383" si="99">IF(A383="MA",D383*E383,"")</f>
        <v>1257.83</v>
      </c>
      <c r="H383" s="279" t="str">
        <f t="shared" ref="H383" si="100">IF(A383="HE",D383*E383,"")</f>
        <v/>
      </c>
      <c r="I383" s="280" t="str">
        <f t="shared" ref="I383" si="101">IF(A383="OT",D383*E383,"")</f>
        <v/>
      </c>
    </row>
    <row r="384" spans="1:9" ht="31.2" x14ac:dyDescent="0.3">
      <c r="A384" s="64" t="s">
        <v>32</v>
      </c>
      <c r="B384" s="61" t="s">
        <v>238</v>
      </c>
      <c r="C384" s="276" t="s">
        <v>7</v>
      </c>
      <c r="D384" s="542">
        <v>0.72199999999999998</v>
      </c>
      <c r="E384" s="20">
        <f>+E365</f>
        <v>364530</v>
      </c>
      <c r="F384" s="279" t="str">
        <f t="shared" ref="F384" si="102">IF(A384="MO",D384*E384,"")</f>
        <v/>
      </c>
      <c r="G384" s="279">
        <f t="shared" ref="G384" si="103">IF(A384="MA",D384*E384,"")</f>
        <v>263190.65999999997</v>
      </c>
      <c r="H384" s="279" t="str">
        <f t="shared" ref="H384" si="104">IF(A384="HE",D384*E384,"")</f>
        <v/>
      </c>
      <c r="I384" s="280" t="str">
        <f t="shared" ref="I384" si="105">IF(A384="OT",D384*E384,"")</f>
        <v/>
      </c>
    </row>
    <row r="385" spans="1:9" ht="15.6" x14ac:dyDescent="0.3">
      <c r="A385" s="15" t="s">
        <v>29</v>
      </c>
      <c r="B385" s="11" t="s">
        <v>304</v>
      </c>
      <c r="C385" s="16" t="s">
        <v>289</v>
      </c>
      <c r="D385" s="515">
        <f>2.4*D384</f>
        <v>1.7327999999999999</v>
      </c>
      <c r="E385" s="20">
        <f>+$C$990</f>
        <v>8250.6174612024897</v>
      </c>
      <c r="F385" s="21" t="str">
        <f>IF(A385="MO",D385*E385,"")</f>
        <v/>
      </c>
      <c r="G385" s="21" t="str">
        <f>IF(A385="MA",D385*E385,"")</f>
        <v/>
      </c>
      <c r="H385" s="21">
        <f>IF(A385="HE",D385*E385,"")</f>
        <v>14296.669936771674</v>
      </c>
      <c r="I385" s="22" t="str">
        <f>IF(A385="OT",D385*E385,"")</f>
        <v/>
      </c>
    </row>
    <row r="386" spans="1:9" ht="15.6" x14ac:dyDescent="0.3">
      <c r="A386" s="64" t="s">
        <v>24</v>
      </c>
      <c r="B386" s="52" t="s">
        <v>206</v>
      </c>
      <c r="C386" s="276" t="s">
        <v>25</v>
      </c>
      <c r="D386" s="542">
        <v>0.3</v>
      </c>
      <c r="E386" s="20">
        <f>+'M.O 2020'!B11</f>
        <v>236192</v>
      </c>
      <c r="F386" s="279">
        <f>IF(A386="MO",D386*E386,"")</f>
        <v>70857.599999999991</v>
      </c>
      <c r="G386" s="279" t="str">
        <f>IF(A386="MA",D386*E386,"")</f>
        <v/>
      </c>
      <c r="H386" s="279" t="str">
        <f>IF(A386="HE",D386*E386,"")</f>
        <v/>
      </c>
      <c r="I386" s="280" t="str">
        <f>IF(A386="OT",D386*E386,"")</f>
        <v/>
      </c>
    </row>
    <row r="387" spans="1:9" ht="15.6" x14ac:dyDescent="0.3">
      <c r="A387" s="64" t="s">
        <v>29</v>
      </c>
      <c r="B387" s="52" t="s">
        <v>125</v>
      </c>
      <c r="C387" s="276" t="s">
        <v>28</v>
      </c>
      <c r="D387" s="549">
        <v>0.05</v>
      </c>
      <c r="E387" s="281">
        <f>+F386</f>
        <v>70857.599999999991</v>
      </c>
      <c r="F387" s="279" t="str">
        <f>IF(A387="MO",D387*E387,"")</f>
        <v/>
      </c>
      <c r="G387" s="279" t="str">
        <f>IF(A387="MA",D387*E387,"")</f>
        <v/>
      </c>
      <c r="H387" s="279">
        <f>IF(A387="HE",D387*E387,"")</f>
        <v>3542.8799999999997</v>
      </c>
      <c r="I387" s="280" t="str">
        <f>IF(A387="OT",D387*E387,"")</f>
        <v/>
      </c>
    </row>
    <row r="388" spans="1:9" ht="15.6" x14ac:dyDescent="0.3">
      <c r="A388" s="19" t="s">
        <v>29</v>
      </c>
      <c r="B388" s="13" t="s">
        <v>244</v>
      </c>
      <c r="C388" s="12" t="s">
        <v>235</v>
      </c>
      <c r="D388" s="523">
        <v>0.5</v>
      </c>
      <c r="E388" s="20">
        <v>2850</v>
      </c>
      <c r="F388" s="21" t="str">
        <f>IF(A388="MO",D388*E388,"")</f>
        <v/>
      </c>
      <c r="G388" s="21" t="str">
        <f>IF(A388="MA",D388*E388,"")</f>
        <v/>
      </c>
      <c r="H388" s="21">
        <f>IF(A388="HE",D388*E388,"")</f>
        <v>1425</v>
      </c>
      <c r="I388" s="22" t="str">
        <f>IF(A388="OT",D388*E388,"")</f>
        <v/>
      </c>
    </row>
    <row r="389" spans="1:9" ht="15.6" x14ac:dyDescent="0.3">
      <c r="A389" s="19" t="s">
        <v>29</v>
      </c>
      <c r="B389" s="13" t="s">
        <v>245</v>
      </c>
      <c r="C389" s="12" t="s">
        <v>235</v>
      </c>
      <c r="D389" s="523">
        <v>4.0000000000000001E-3</v>
      </c>
      <c r="E389" s="20">
        <f>+E373</f>
        <v>299077</v>
      </c>
      <c r="F389" s="21" t="str">
        <f>IF(A389="MO",D389*E389,"")</f>
        <v/>
      </c>
      <c r="G389" s="21" t="str">
        <f>IF(A389="MA",D389*E389,"")</f>
        <v/>
      </c>
      <c r="H389" s="21">
        <f>IF(A389="HE",D389*E389,"")</f>
        <v>1196.308</v>
      </c>
      <c r="I389" s="22" t="str">
        <f>IF(A389="OT",D389*E389,"")</f>
        <v/>
      </c>
    </row>
    <row r="390" spans="1:9" ht="15.6" x14ac:dyDescent="0.3">
      <c r="A390" s="64" t="s">
        <v>32</v>
      </c>
      <c r="B390" s="52" t="s">
        <v>247</v>
      </c>
      <c r="C390" s="276" t="s">
        <v>235</v>
      </c>
      <c r="D390" s="542">
        <v>2</v>
      </c>
      <c r="E390" s="281">
        <v>9800</v>
      </c>
      <c r="F390" s="279"/>
      <c r="G390" s="279">
        <f t="shared" ref="G390:G394" si="106">IF(A390="MA",D390*E390,"")</f>
        <v>19600</v>
      </c>
      <c r="H390" s="279"/>
      <c r="I390" s="280"/>
    </row>
    <row r="391" spans="1:9" ht="15.75" customHeight="1" x14ac:dyDescent="0.3">
      <c r="A391" s="64" t="s">
        <v>32</v>
      </c>
      <c r="B391" s="52" t="s">
        <v>248</v>
      </c>
      <c r="C391" s="276" t="s">
        <v>235</v>
      </c>
      <c r="D391" s="542">
        <v>1</v>
      </c>
      <c r="E391" s="20">
        <v>867510</v>
      </c>
      <c r="F391" s="279" t="str">
        <f t="shared" ref="F391:F394" si="107">IF(A391="MO",D391*E391,"")</f>
        <v/>
      </c>
      <c r="G391" s="279">
        <f t="shared" si="106"/>
        <v>867510</v>
      </c>
      <c r="H391" s="279" t="str">
        <f t="shared" ref="H391:H394" si="108">IF(A391="HE",D391*E391,"")</f>
        <v/>
      </c>
      <c r="I391" s="280" t="str">
        <f t="shared" ref="I391:I394" si="109">IF(A391="OT",D391*E391,"")</f>
        <v/>
      </c>
    </row>
    <row r="392" spans="1:9" ht="15.75" customHeight="1" x14ac:dyDescent="0.3">
      <c r="A392" s="64" t="s">
        <v>32</v>
      </c>
      <c r="B392" s="52" t="s">
        <v>249</v>
      </c>
      <c r="C392" s="276" t="s">
        <v>235</v>
      </c>
      <c r="D392" s="542">
        <v>2</v>
      </c>
      <c r="E392" s="20">
        <v>2225</v>
      </c>
      <c r="F392" s="279" t="str">
        <f t="shared" ref="F392" si="110">IF(A392="MO",D392*E392,"")</f>
        <v/>
      </c>
      <c r="G392" s="279">
        <f t="shared" ref="G392" si="111">IF(A392="MA",D392*E392,"")</f>
        <v>4450</v>
      </c>
      <c r="H392" s="279" t="str">
        <f t="shared" ref="H392" si="112">IF(A392="HE",D392*E392,"")</f>
        <v/>
      </c>
      <c r="I392" s="280" t="str">
        <f t="shared" ref="I392" si="113">IF(A392="OT",D392*E392,"")</f>
        <v/>
      </c>
    </row>
    <row r="393" spans="1:9" ht="15.6" x14ac:dyDescent="0.3">
      <c r="A393" s="64" t="s">
        <v>32</v>
      </c>
      <c r="B393" s="52" t="s">
        <v>250</v>
      </c>
      <c r="C393" s="276" t="s">
        <v>155</v>
      </c>
      <c r="D393" s="542">
        <v>55</v>
      </c>
      <c r="E393" s="281">
        <v>3958</v>
      </c>
      <c r="F393" s="279" t="str">
        <f t="shared" si="107"/>
        <v/>
      </c>
      <c r="G393" s="279">
        <f t="shared" si="106"/>
        <v>217690</v>
      </c>
      <c r="H393" s="279" t="str">
        <f t="shared" si="108"/>
        <v/>
      </c>
      <c r="I393" s="280" t="str">
        <f t="shared" si="109"/>
        <v/>
      </c>
    </row>
    <row r="394" spans="1:9" ht="32.25" customHeight="1" x14ac:dyDescent="0.3">
      <c r="A394" s="64"/>
      <c r="B394" s="282"/>
      <c r="C394" s="276"/>
      <c r="D394" s="542"/>
      <c r="E394" s="281"/>
      <c r="F394" s="279" t="str">
        <f t="shared" si="107"/>
        <v/>
      </c>
      <c r="G394" s="279" t="str">
        <f t="shared" si="106"/>
        <v/>
      </c>
      <c r="H394" s="279" t="str">
        <f t="shared" si="108"/>
        <v/>
      </c>
      <c r="I394" s="280" t="str">
        <f t="shared" si="109"/>
        <v/>
      </c>
    </row>
    <row r="395" spans="1:9" ht="16.2" thickBot="1" x14ac:dyDescent="0.35">
      <c r="A395" s="71"/>
      <c r="B395" s="72" t="s">
        <v>31</v>
      </c>
      <c r="C395" s="73">
        <f>ROUND(SUM(F395:I395),0)</f>
        <v>1465017</v>
      </c>
      <c r="D395" s="550" t="str">
        <f>+C379</f>
        <v>Un</v>
      </c>
      <c r="E395" s="86"/>
      <c r="F395" s="283">
        <f>SUM(F383:F394)</f>
        <v>70857.599999999991</v>
      </c>
      <c r="G395" s="283">
        <f>SUM(G383:G394)</f>
        <v>1373698.49</v>
      </c>
      <c r="H395" s="283">
        <f>SUM(H383:H394)</f>
        <v>20460.857936771674</v>
      </c>
      <c r="I395" s="284">
        <f>SUM(I383:I394)</f>
        <v>0</v>
      </c>
    </row>
    <row r="396" spans="1:9" ht="15.6" thickTop="1" thickBot="1" x14ac:dyDescent="0.35"/>
    <row r="397" spans="1:9" ht="16.2" thickTop="1" x14ac:dyDescent="0.3">
      <c r="A397" s="854" t="s">
        <v>35</v>
      </c>
      <c r="B397" s="855"/>
      <c r="C397" s="943" t="s">
        <v>251</v>
      </c>
      <c r="D397" s="944"/>
      <c r="E397" s="944"/>
      <c r="F397" s="944"/>
      <c r="G397" s="944"/>
      <c r="H397" s="944"/>
      <c r="I397" s="945"/>
    </row>
    <row r="398" spans="1:9" ht="49.5" customHeight="1" x14ac:dyDescent="0.3">
      <c r="A398" s="858" t="s">
        <v>12</v>
      </c>
      <c r="B398" s="859"/>
      <c r="C398" s="948" t="s">
        <v>388</v>
      </c>
      <c r="D398" s="949"/>
      <c r="E398" s="949"/>
      <c r="F398" s="949"/>
      <c r="G398" s="949"/>
      <c r="H398" s="949"/>
      <c r="I398" s="950"/>
    </row>
    <row r="399" spans="1:9" ht="15.6" x14ac:dyDescent="0.3">
      <c r="A399" s="858" t="s">
        <v>13</v>
      </c>
      <c r="B399" s="859"/>
      <c r="C399" s="948" t="s">
        <v>113</v>
      </c>
      <c r="D399" s="949"/>
      <c r="E399" s="949"/>
      <c r="F399" s="949"/>
      <c r="G399" s="949"/>
      <c r="H399" s="949"/>
      <c r="I399" s="950"/>
    </row>
    <row r="400" spans="1:9" ht="15.6" x14ac:dyDescent="0.3">
      <c r="A400" s="862" t="s">
        <v>14</v>
      </c>
      <c r="B400" s="848" t="s">
        <v>15</v>
      </c>
      <c r="C400" s="864" t="s">
        <v>16</v>
      </c>
      <c r="D400" s="866" t="s">
        <v>17</v>
      </c>
      <c r="E400" s="868" t="s">
        <v>18</v>
      </c>
      <c r="F400" s="955" t="s">
        <v>19</v>
      </c>
      <c r="G400" s="956"/>
      <c r="H400" s="956"/>
      <c r="I400" s="957"/>
    </row>
    <row r="401" spans="1:9" ht="31.8" thickBot="1" x14ac:dyDescent="0.35">
      <c r="A401" s="863"/>
      <c r="B401" s="864"/>
      <c r="C401" s="952"/>
      <c r="D401" s="953"/>
      <c r="E401" s="954"/>
      <c r="F401" s="480" t="s">
        <v>20</v>
      </c>
      <c r="G401" s="480" t="s">
        <v>21</v>
      </c>
      <c r="H401" s="480" t="s">
        <v>22</v>
      </c>
      <c r="I401" s="14" t="s">
        <v>23</v>
      </c>
    </row>
    <row r="402" spans="1:9" ht="16.8" thickTop="1" thickBot="1" x14ac:dyDescent="0.35">
      <c r="A402" s="9"/>
      <c r="B402" s="9"/>
      <c r="C402" s="9"/>
      <c r="D402" s="513"/>
      <c r="E402" s="10"/>
      <c r="F402" s="9"/>
      <c r="G402" s="9"/>
      <c r="H402" s="9"/>
      <c r="I402" s="9"/>
    </row>
    <row r="403" spans="1:9" ht="16.2" thickTop="1" x14ac:dyDescent="0.3">
      <c r="A403" s="15" t="s">
        <v>32</v>
      </c>
      <c r="B403" s="61" t="s">
        <v>252</v>
      </c>
      <c r="C403" s="276" t="s">
        <v>90</v>
      </c>
      <c r="D403" s="542">
        <v>46</v>
      </c>
      <c r="E403" s="20">
        <f>+E393</f>
        <v>3958</v>
      </c>
      <c r="F403" s="17" t="str">
        <f t="shared" ref="F403:F412" si="114">IF(A403="MO",D403*E403,"")</f>
        <v/>
      </c>
      <c r="G403" s="17">
        <f t="shared" ref="G403:G412" si="115">IF(A403="MA",D403*E403,"")</f>
        <v>182068</v>
      </c>
      <c r="H403" s="17" t="str">
        <f t="shared" ref="H403:H412" si="116">IF(A403="HE",D403*E403,"")</f>
        <v/>
      </c>
      <c r="I403" s="18" t="str">
        <f t="shared" ref="I403:I412" si="117">IF(A403="OT",D403*E403,"")</f>
        <v/>
      </c>
    </row>
    <row r="404" spans="1:9" ht="15.6" x14ac:dyDescent="0.3">
      <c r="A404" s="19" t="s">
        <v>32</v>
      </c>
      <c r="B404" s="61" t="s">
        <v>253</v>
      </c>
      <c r="C404" s="276" t="s">
        <v>258</v>
      </c>
      <c r="D404" s="542">
        <v>0.28000000000000003</v>
      </c>
      <c r="E404" s="20">
        <f>+E384</f>
        <v>364530</v>
      </c>
      <c r="F404" s="21" t="str">
        <f t="shared" si="114"/>
        <v/>
      </c>
      <c r="G404" s="21">
        <f t="shared" si="115"/>
        <v>102068.40000000001</v>
      </c>
      <c r="H404" s="21" t="str">
        <f t="shared" si="116"/>
        <v/>
      </c>
      <c r="I404" s="22" t="str">
        <f t="shared" si="117"/>
        <v/>
      </c>
    </row>
    <row r="405" spans="1:9" ht="15.6" x14ac:dyDescent="0.3">
      <c r="A405" s="15" t="s">
        <v>29</v>
      </c>
      <c r="B405" s="11" t="s">
        <v>304</v>
      </c>
      <c r="C405" s="16" t="s">
        <v>289</v>
      </c>
      <c r="D405" s="515">
        <f>2.4*D404</f>
        <v>0.67200000000000004</v>
      </c>
      <c r="E405" s="20">
        <f>+$C$990</f>
        <v>8250.6174612024897</v>
      </c>
      <c r="F405" s="21" t="str">
        <f>IF(A405="MO",D405*E405,"")</f>
        <v/>
      </c>
      <c r="G405" s="21" t="str">
        <f>IF(A405="MA",D405*E405,"")</f>
        <v/>
      </c>
      <c r="H405" s="21">
        <f>IF(A405="HE",D405*E405,"")</f>
        <v>5544.4149339280739</v>
      </c>
      <c r="I405" s="22" t="str">
        <f>IF(A405="OT",D405*E405,"")</f>
        <v/>
      </c>
    </row>
    <row r="406" spans="1:9" ht="15.6" x14ac:dyDescent="0.3">
      <c r="A406" s="19" t="s">
        <v>24</v>
      </c>
      <c r="B406" s="61" t="s">
        <v>206</v>
      </c>
      <c r="C406" s="276" t="s">
        <v>36</v>
      </c>
      <c r="D406" s="542">
        <v>0.33400000000000002</v>
      </c>
      <c r="E406" s="20">
        <f>+'M.O 2020'!B11</f>
        <v>236192</v>
      </c>
      <c r="F406" s="21">
        <f t="shared" si="114"/>
        <v>78888.128000000012</v>
      </c>
      <c r="G406" s="21" t="str">
        <f t="shared" si="115"/>
        <v/>
      </c>
      <c r="H406" s="21" t="str">
        <f t="shared" si="116"/>
        <v/>
      </c>
      <c r="I406" s="22" t="str">
        <f t="shared" si="117"/>
        <v/>
      </c>
    </row>
    <row r="407" spans="1:9" ht="15.75" customHeight="1" x14ac:dyDescent="0.3">
      <c r="A407" s="19" t="s">
        <v>29</v>
      </c>
      <c r="B407" s="61" t="s">
        <v>115</v>
      </c>
      <c r="C407" s="276" t="s">
        <v>208</v>
      </c>
      <c r="D407" s="549">
        <v>0.05</v>
      </c>
      <c r="E407" s="20">
        <f>+F406</f>
        <v>78888.128000000012</v>
      </c>
      <c r="F407" s="21" t="str">
        <f t="shared" si="114"/>
        <v/>
      </c>
      <c r="G407" s="21" t="str">
        <f t="shared" si="115"/>
        <v/>
      </c>
      <c r="H407" s="21">
        <f t="shared" si="116"/>
        <v>3944.4064000000008</v>
      </c>
      <c r="I407" s="22" t="str">
        <f t="shared" si="117"/>
        <v/>
      </c>
    </row>
    <row r="408" spans="1:9" ht="15.75" customHeight="1" x14ac:dyDescent="0.3">
      <c r="A408" s="19" t="s">
        <v>32</v>
      </c>
      <c r="B408" s="61" t="s">
        <v>254</v>
      </c>
      <c r="C408" s="276" t="s">
        <v>205</v>
      </c>
      <c r="D408" s="542">
        <v>0.4</v>
      </c>
      <c r="E408" s="20">
        <v>2850</v>
      </c>
      <c r="F408" s="21" t="str">
        <f t="shared" si="114"/>
        <v/>
      </c>
      <c r="G408" s="21">
        <f t="shared" si="115"/>
        <v>1140</v>
      </c>
      <c r="H408" s="21" t="str">
        <f t="shared" si="116"/>
        <v/>
      </c>
      <c r="I408" s="22" t="str">
        <f t="shared" si="117"/>
        <v/>
      </c>
    </row>
    <row r="409" spans="1:9" ht="15.6" x14ac:dyDescent="0.3">
      <c r="A409" s="19" t="s">
        <v>32</v>
      </c>
      <c r="B409" s="61" t="s">
        <v>245</v>
      </c>
      <c r="C409" s="276" t="s">
        <v>205</v>
      </c>
      <c r="D409" s="542">
        <v>7.0000000000000001E-3</v>
      </c>
      <c r="E409" s="20">
        <f>+E389</f>
        <v>299077</v>
      </c>
      <c r="F409" s="21" t="str">
        <f t="shared" si="114"/>
        <v/>
      </c>
      <c r="G409" s="21">
        <f t="shared" si="115"/>
        <v>2093.5390000000002</v>
      </c>
      <c r="H409" s="21" t="str">
        <f t="shared" si="116"/>
        <v/>
      </c>
      <c r="I409" s="22" t="str">
        <f t="shared" si="117"/>
        <v/>
      </c>
    </row>
    <row r="410" spans="1:9" ht="15.6" x14ac:dyDescent="0.3">
      <c r="A410" s="19" t="s">
        <v>32</v>
      </c>
      <c r="B410" s="61" t="s">
        <v>255</v>
      </c>
      <c r="C410" s="276" t="s">
        <v>205</v>
      </c>
      <c r="D410" s="542">
        <v>1.25</v>
      </c>
      <c r="E410" s="20">
        <v>9800</v>
      </c>
      <c r="F410" s="21" t="str">
        <f t="shared" si="114"/>
        <v/>
      </c>
      <c r="G410" s="21">
        <f t="shared" si="115"/>
        <v>12250</v>
      </c>
      <c r="H410" s="21" t="str">
        <f t="shared" si="116"/>
        <v/>
      </c>
      <c r="I410" s="22" t="str">
        <f t="shared" si="117"/>
        <v/>
      </c>
    </row>
    <row r="411" spans="1:9" ht="31.2" x14ac:dyDescent="0.3">
      <c r="A411" s="602" t="s">
        <v>32</v>
      </c>
      <c r="B411" s="589" t="s">
        <v>256</v>
      </c>
      <c r="C411" s="684" t="s">
        <v>205</v>
      </c>
      <c r="D411" s="689">
        <v>1</v>
      </c>
      <c r="E411" s="606">
        <v>126985.8</v>
      </c>
      <c r="F411" s="607" t="str">
        <f t="shared" si="114"/>
        <v/>
      </c>
      <c r="G411" s="607">
        <f t="shared" si="115"/>
        <v>126985.8</v>
      </c>
      <c r="H411" s="607" t="str">
        <f t="shared" si="116"/>
        <v/>
      </c>
      <c r="I411" s="608" t="str">
        <f t="shared" si="117"/>
        <v/>
      </c>
    </row>
    <row r="412" spans="1:9" ht="15.6" x14ac:dyDescent="0.3">
      <c r="A412" s="19" t="s">
        <v>32</v>
      </c>
      <c r="B412" s="61" t="s">
        <v>257</v>
      </c>
      <c r="C412" s="276" t="s">
        <v>205</v>
      </c>
      <c r="D412" s="542">
        <v>1.867</v>
      </c>
      <c r="E412" s="20">
        <v>2225</v>
      </c>
      <c r="F412" s="21" t="str">
        <f t="shared" si="114"/>
        <v/>
      </c>
      <c r="G412" s="21">
        <f t="shared" si="115"/>
        <v>4154.0749999999998</v>
      </c>
      <c r="H412" s="21" t="str">
        <f t="shared" si="116"/>
        <v/>
      </c>
      <c r="I412" s="22" t="str">
        <f t="shared" si="117"/>
        <v/>
      </c>
    </row>
    <row r="413" spans="1:9" ht="15.6" x14ac:dyDescent="0.3">
      <c r="A413" s="275"/>
      <c r="B413" s="92"/>
      <c r="C413" s="285"/>
      <c r="D413" s="551"/>
      <c r="E413" s="286"/>
      <c r="F413" s="287"/>
      <c r="G413" s="287"/>
      <c r="H413" s="287"/>
      <c r="I413" s="288"/>
    </row>
    <row r="414" spans="1:9" ht="16.2" thickBot="1" x14ac:dyDescent="0.35">
      <c r="A414" s="23"/>
      <c r="B414" s="24" t="s">
        <v>31</v>
      </c>
      <c r="C414" s="25">
        <f>ROUND(SUM(F414:I414),0)</f>
        <v>519137</v>
      </c>
      <c r="D414" s="516" t="str">
        <f>+C399</f>
        <v>Un</v>
      </c>
      <c r="E414" s="26"/>
      <c r="F414" s="27">
        <f>SUM(F403:F412)</f>
        <v>78888.128000000012</v>
      </c>
      <c r="G414" s="27">
        <f>SUM(G403:G412)</f>
        <v>430759.81400000001</v>
      </c>
      <c r="H414" s="27">
        <f>SUM(H403:H412)</f>
        <v>9488.8213339280737</v>
      </c>
      <c r="I414" s="28">
        <f>SUM(I403:I412)</f>
        <v>0</v>
      </c>
    </row>
    <row r="415" spans="1:9" ht="15.6" thickTop="1" thickBot="1" x14ac:dyDescent="0.35"/>
    <row r="416" spans="1:9" ht="16.2" thickTop="1" x14ac:dyDescent="0.3">
      <c r="A416" s="854" t="s">
        <v>35</v>
      </c>
      <c r="B416" s="855"/>
      <c r="C416" s="943" t="s">
        <v>156</v>
      </c>
      <c r="D416" s="944"/>
      <c r="E416" s="944"/>
      <c r="F416" s="944"/>
      <c r="G416" s="944"/>
      <c r="H416" s="944"/>
      <c r="I416" s="945"/>
    </row>
    <row r="417" spans="1:9" ht="48" customHeight="1" x14ac:dyDescent="0.3">
      <c r="A417" s="858" t="s">
        <v>12</v>
      </c>
      <c r="B417" s="859"/>
      <c r="C417" s="948" t="s">
        <v>389</v>
      </c>
      <c r="D417" s="949"/>
      <c r="E417" s="949"/>
      <c r="F417" s="949"/>
      <c r="G417" s="949"/>
      <c r="H417" s="949"/>
      <c r="I417" s="950"/>
    </row>
    <row r="418" spans="1:9" ht="15.6" x14ac:dyDescent="0.3">
      <c r="A418" s="858" t="s">
        <v>13</v>
      </c>
      <c r="B418" s="859"/>
      <c r="C418" s="948" t="s">
        <v>4</v>
      </c>
      <c r="D418" s="949"/>
      <c r="E418" s="949"/>
      <c r="F418" s="949"/>
      <c r="G418" s="949"/>
      <c r="H418" s="949"/>
      <c r="I418" s="950"/>
    </row>
    <row r="419" spans="1:9" ht="15.6" x14ac:dyDescent="0.3">
      <c r="A419" s="862" t="s">
        <v>14</v>
      </c>
      <c r="B419" s="848" t="s">
        <v>15</v>
      </c>
      <c r="C419" s="864" t="s">
        <v>16</v>
      </c>
      <c r="D419" s="866" t="s">
        <v>17</v>
      </c>
      <c r="E419" s="868" t="s">
        <v>18</v>
      </c>
      <c r="F419" s="955" t="s">
        <v>19</v>
      </c>
      <c r="G419" s="956"/>
      <c r="H419" s="956"/>
      <c r="I419" s="957"/>
    </row>
    <row r="420" spans="1:9" ht="31.8" thickBot="1" x14ac:dyDescent="0.35">
      <c r="A420" s="863"/>
      <c r="B420" s="864"/>
      <c r="C420" s="952"/>
      <c r="D420" s="953"/>
      <c r="E420" s="954"/>
      <c r="F420" s="480" t="s">
        <v>20</v>
      </c>
      <c r="G420" s="480" t="s">
        <v>21</v>
      </c>
      <c r="H420" s="480" t="s">
        <v>22</v>
      </c>
      <c r="I420" s="14" t="s">
        <v>23</v>
      </c>
    </row>
    <row r="421" spans="1:9" ht="16.8" thickTop="1" thickBot="1" x14ac:dyDescent="0.35">
      <c r="A421" s="99"/>
      <c r="B421" s="99"/>
      <c r="C421" s="99"/>
      <c r="D421" s="526"/>
      <c r="E421" s="100"/>
      <c r="F421" s="99"/>
      <c r="G421" s="99"/>
      <c r="H421" s="99"/>
      <c r="I421" s="99"/>
    </row>
    <row r="422" spans="1:9" ht="15.75" customHeight="1" thickTop="1" x14ac:dyDescent="0.3">
      <c r="A422" s="15" t="s">
        <v>32</v>
      </c>
      <c r="B422" s="13" t="s">
        <v>105</v>
      </c>
      <c r="C422" s="16" t="s">
        <v>7</v>
      </c>
      <c r="D422" s="515">
        <v>0.1575</v>
      </c>
      <c r="E422" s="20">
        <f>+E404</f>
        <v>364530</v>
      </c>
      <c r="F422" s="17" t="str">
        <f t="shared" ref="F422:F429" si="118">IF(A422="MO",D422*E422,"")</f>
        <v/>
      </c>
      <c r="G422" s="17">
        <f t="shared" ref="G422:G429" si="119">IF(A422="MA",D422*E422,"")</f>
        <v>57413.474999999999</v>
      </c>
      <c r="H422" s="17" t="str">
        <f t="shared" ref="H422:H429" si="120">IF(A422="HE",D422*E422,"")</f>
        <v/>
      </c>
      <c r="I422" s="18" t="str">
        <f t="shared" ref="I422:I429" si="121">IF(A422="OT",D422*E422,"")</f>
        <v/>
      </c>
    </row>
    <row r="423" spans="1:9" ht="15.75" customHeight="1" x14ac:dyDescent="0.3">
      <c r="A423" s="375" t="s">
        <v>29</v>
      </c>
      <c r="B423" s="377" t="s">
        <v>304</v>
      </c>
      <c r="C423" s="383" t="s">
        <v>289</v>
      </c>
      <c r="D423" s="520">
        <f>2.4*D422</f>
        <v>0.378</v>
      </c>
      <c r="E423" s="321">
        <f>+$C$990</f>
        <v>8250.6174612024897</v>
      </c>
      <c r="F423" s="322" t="str">
        <f>IF(A423="MO",D423*E423,"")</f>
        <v/>
      </c>
      <c r="G423" s="322" t="str">
        <f>IF(A423="MA",D423*E423,"")</f>
        <v/>
      </c>
      <c r="H423" s="322">
        <f>IF(A423="HE",D423*E423,"")</f>
        <v>3118.7334003345413</v>
      </c>
      <c r="I423" s="323" t="str">
        <f>IF(A423="OT",D423*E423,"")</f>
        <v/>
      </c>
    </row>
    <row r="424" spans="1:9" ht="15.75" customHeight="1" x14ac:dyDescent="0.3">
      <c r="A424" s="350" t="s">
        <v>32</v>
      </c>
      <c r="B424" s="349" t="s">
        <v>106</v>
      </c>
      <c r="C424" s="351" t="s">
        <v>4</v>
      </c>
      <c r="D424" s="412">
        <v>0.33333333333333298</v>
      </c>
      <c r="E424" s="321">
        <f>+'especiales '!D30</f>
        <v>58482.400000000001</v>
      </c>
      <c r="F424" s="322" t="str">
        <f t="shared" si="118"/>
        <v/>
      </c>
      <c r="G424" s="322">
        <f t="shared" si="119"/>
        <v>19494.133333333313</v>
      </c>
      <c r="H424" s="322" t="str">
        <f t="shared" si="120"/>
        <v/>
      </c>
      <c r="I424" s="323" t="str">
        <f t="shared" si="121"/>
        <v/>
      </c>
    </row>
    <row r="425" spans="1:9" ht="15.75" customHeight="1" x14ac:dyDescent="0.3">
      <c r="A425" s="350" t="s">
        <v>32</v>
      </c>
      <c r="B425" s="349" t="s">
        <v>259</v>
      </c>
      <c r="C425" s="351" t="s">
        <v>90</v>
      </c>
      <c r="D425" s="412">
        <f>D422*150</f>
        <v>23.625</v>
      </c>
      <c r="E425" s="321">
        <f>+E393</f>
        <v>3958</v>
      </c>
      <c r="F425" s="322" t="str">
        <f t="shared" si="118"/>
        <v/>
      </c>
      <c r="G425" s="322">
        <f t="shared" si="119"/>
        <v>93507.75</v>
      </c>
      <c r="H425" s="322" t="str">
        <f t="shared" si="120"/>
        <v/>
      </c>
      <c r="I425" s="323" t="str">
        <f t="shared" si="121"/>
        <v/>
      </c>
    </row>
    <row r="426" spans="1:9" ht="15.75" customHeight="1" x14ac:dyDescent="0.3">
      <c r="A426" s="19" t="s">
        <v>24</v>
      </c>
      <c r="B426" s="61" t="s">
        <v>430</v>
      </c>
      <c r="C426" s="12" t="s">
        <v>25</v>
      </c>
      <c r="D426" s="523">
        <v>8.3333000000000004E-2</v>
      </c>
      <c r="E426" s="20">
        <f>+'M.O 2020'!B13</f>
        <v>357888</v>
      </c>
      <c r="F426" s="21">
        <f>IF(A426="MO",D426*E426,"")</f>
        <v>29823.880704000003</v>
      </c>
      <c r="G426" s="21" t="str">
        <f t="shared" si="119"/>
        <v/>
      </c>
      <c r="H426" s="21" t="str">
        <f t="shared" si="120"/>
        <v/>
      </c>
      <c r="I426" s="22" t="str">
        <f t="shared" si="121"/>
        <v/>
      </c>
    </row>
    <row r="427" spans="1:9" ht="15.6" x14ac:dyDescent="0.3">
      <c r="A427" s="19" t="s">
        <v>29</v>
      </c>
      <c r="B427" s="13" t="s">
        <v>30</v>
      </c>
      <c r="C427" s="12" t="s">
        <v>28</v>
      </c>
      <c r="D427" s="523">
        <v>0.1</v>
      </c>
      <c r="E427" s="20">
        <f>F426</f>
        <v>29823.880704000003</v>
      </c>
      <c r="F427" s="21" t="str">
        <f t="shared" si="118"/>
        <v/>
      </c>
      <c r="G427" s="21" t="str">
        <f t="shared" si="119"/>
        <v/>
      </c>
      <c r="H427" s="21">
        <f t="shared" si="120"/>
        <v>2982.3880704000003</v>
      </c>
      <c r="I427" s="22" t="str">
        <f t="shared" si="121"/>
        <v/>
      </c>
    </row>
    <row r="428" spans="1:9" ht="15.6" x14ac:dyDescent="0.3">
      <c r="A428" s="19" t="s">
        <v>29</v>
      </c>
      <c r="B428" s="13" t="s">
        <v>107</v>
      </c>
      <c r="C428" s="12" t="s">
        <v>25</v>
      </c>
      <c r="D428" s="523">
        <v>8.4033609999999995E-2</v>
      </c>
      <c r="E428" s="20">
        <v>40653</v>
      </c>
      <c r="F428" s="21" t="str">
        <f t="shared" si="118"/>
        <v/>
      </c>
      <c r="G428" s="21" t="str">
        <f t="shared" si="119"/>
        <v/>
      </c>
      <c r="H428" s="21">
        <f t="shared" si="120"/>
        <v>3416.2183473299997</v>
      </c>
      <c r="I428" s="22" t="str">
        <f t="shared" si="121"/>
        <v/>
      </c>
    </row>
    <row r="429" spans="1:9" ht="15.6" x14ac:dyDescent="0.3">
      <c r="A429" s="19"/>
      <c r="B429" s="488"/>
      <c r="C429" s="12"/>
      <c r="D429" s="523"/>
      <c r="E429" s="20"/>
      <c r="F429" s="21" t="str">
        <f t="shared" si="118"/>
        <v/>
      </c>
      <c r="G429" s="21" t="str">
        <f t="shared" si="119"/>
        <v/>
      </c>
      <c r="H429" s="21" t="str">
        <f t="shared" si="120"/>
        <v/>
      </c>
      <c r="I429" s="22" t="str">
        <f t="shared" si="121"/>
        <v/>
      </c>
    </row>
    <row r="430" spans="1:9" ht="16.2" thickBot="1" x14ac:dyDescent="0.35">
      <c r="A430" s="23"/>
      <c r="B430" s="24" t="s">
        <v>31</v>
      </c>
      <c r="C430" s="25">
        <f>ROUND(SUM(F430:I430),0)</f>
        <v>209757</v>
      </c>
      <c r="D430" s="516" t="str">
        <f>+C418</f>
        <v>m2</v>
      </c>
      <c r="E430" s="26"/>
      <c r="F430" s="27">
        <f>SUM(F422:F429)</f>
        <v>29823.880704000003</v>
      </c>
      <c r="G430" s="27">
        <f>SUM(G422:G429)</f>
        <v>170415.35833333331</v>
      </c>
      <c r="H430" s="27">
        <f>SUM(H422:H429)</f>
        <v>9517.3398180645418</v>
      </c>
      <c r="I430" s="28">
        <f>SUM(I422:I429)</f>
        <v>0</v>
      </c>
    </row>
    <row r="431" spans="1:9" ht="15.6" thickTop="1" thickBot="1" x14ac:dyDescent="0.35"/>
    <row r="432" spans="1:9" ht="16.2" thickTop="1" x14ac:dyDescent="0.3">
      <c r="A432" s="854" t="s">
        <v>35</v>
      </c>
      <c r="B432" s="855"/>
      <c r="C432" s="943" t="s">
        <v>96</v>
      </c>
      <c r="D432" s="944"/>
      <c r="E432" s="944"/>
      <c r="F432" s="944"/>
      <c r="G432" s="944"/>
      <c r="H432" s="944"/>
      <c r="I432" s="945"/>
    </row>
    <row r="433" spans="1:9" ht="48" customHeight="1" x14ac:dyDescent="0.3">
      <c r="A433" s="858" t="s">
        <v>12</v>
      </c>
      <c r="B433" s="859"/>
      <c r="C433" s="948" t="s">
        <v>390</v>
      </c>
      <c r="D433" s="949"/>
      <c r="E433" s="949"/>
      <c r="F433" s="949"/>
      <c r="G433" s="949"/>
      <c r="H433" s="949"/>
      <c r="I433" s="950"/>
    </row>
    <row r="434" spans="1:9" ht="15.6" x14ac:dyDescent="0.3">
      <c r="A434" s="858" t="s">
        <v>13</v>
      </c>
      <c r="B434" s="859"/>
      <c r="C434" s="948" t="s">
        <v>7</v>
      </c>
      <c r="D434" s="949"/>
      <c r="E434" s="949"/>
      <c r="F434" s="949"/>
      <c r="G434" s="949"/>
      <c r="H434" s="949"/>
      <c r="I434" s="950"/>
    </row>
    <row r="435" spans="1:9" ht="15.6" x14ac:dyDescent="0.3">
      <c r="A435" s="862" t="s">
        <v>14</v>
      </c>
      <c r="B435" s="848" t="s">
        <v>15</v>
      </c>
      <c r="C435" s="864" t="s">
        <v>16</v>
      </c>
      <c r="D435" s="866" t="s">
        <v>17</v>
      </c>
      <c r="E435" s="868" t="s">
        <v>18</v>
      </c>
      <c r="F435" s="955" t="s">
        <v>19</v>
      </c>
      <c r="G435" s="956"/>
      <c r="H435" s="956"/>
      <c r="I435" s="957"/>
    </row>
    <row r="436" spans="1:9" ht="31.8" thickBot="1" x14ac:dyDescent="0.35">
      <c r="A436" s="863"/>
      <c r="B436" s="864"/>
      <c r="C436" s="952"/>
      <c r="D436" s="953"/>
      <c r="E436" s="954"/>
      <c r="F436" s="480" t="s">
        <v>20</v>
      </c>
      <c r="G436" s="480" t="s">
        <v>21</v>
      </c>
      <c r="H436" s="480" t="s">
        <v>22</v>
      </c>
      <c r="I436" s="14" t="s">
        <v>23</v>
      </c>
    </row>
    <row r="437" spans="1:9" ht="16.8" thickTop="1" thickBot="1" x14ac:dyDescent="0.35">
      <c r="A437" s="9"/>
      <c r="B437" s="9"/>
      <c r="C437" s="9"/>
      <c r="D437" s="513"/>
      <c r="E437" s="10"/>
      <c r="F437" s="9"/>
      <c r="G437" s="9"/>
      <c r="H437" s="9"/>
      <c r="I437" s="9"/>
    </row>
    <row r="438" spans="1:9" ht="16.2" thickTop="1" x14ac:dyDescent="0.3">
      <c r="A438" s="15" t="s">
        <v>32</v>
      </c>
      <c r="B438" s="11" t="s">
        <v>836</v>
      </c>
      <c r="C438" s="16" t="s">
        <v>7</v>
      </c>
      <c r="D438" s="515">
        <v>1.05</v>
      </c>
      <c r="E438" s="20">
        <f>+E422</f>
        <v>364530</v>
      </c>
      <c r="F438" s="17" t="str">
        <f t="shared" ref="F438:F449" si="122">IF(A438="MO",D438*E438,"")</f>
        <v/>
      </c>
      <c r="G438" s="17">
        <f t="shared" ref="G438:G449" si="123">IF(A438="MA",D438*E438,"")</f>
        <v>382756.5</v>
      </c>
      <c r="H438" s="17" t="str">
        <f t="shared" ref="H438:H449" si="124">IF(A438="HE",D438*E438,"")</f>
        <v/>
      </c>
      <c r="I438" s="18" t="str">
        <f t="shared" ref="I438:I449" si="125">IF(A438="OT",D438*E438,"")</f>
        <v/>
      </c>
    </row>
    <row r="439" spans="1:9" ht="31.2" x14ac:dyDescent="0.3">
      <c r="A439" s="602" t="s">
        <v>32</v>
      </c>
      <c r="B439" s="603" t="s">
        <v>837</v>
      </c>
      <c r="C439" s="604" t="s">
        <v>205</v>
      </c>
      <c r="D439" s="605">
        <v>8.7499999999999994E-2</v>
      </c>
      <c r="E439" s="606">
        <v>303807</v>
      </c>
      <c r="F439" s="607" t="str">
        <f t="shared" ref="F439" si="126">IF(A439="MO",D439*E439,"")</f>
        <v/>
      </c>
      <c r="G439" s="607">
        <f t="shared" ref="G439" si="127">IF(A439="MA",D439*E439,"")</f>
        <v>26583.112499999999</v>
      </c>
      <c r="H439" s="607" t="str">
        <f t="shared" ref="H439" si="128">IF(A439="HE",D439*E439,"")</f>
        <v/>
      </c>
      <c r="I439" s="608" t="str">
        <f t="shared" ref="I439" si="129">IF(A439="OT",D439*E439,"")</f>
        <v/>
      </c>
    </row>
    <row r="440" spans="1:9" ht="15.75" customHeight="1" x14ac:dyDescent="0.3">
      <c r="A440" s="375" t="s">
        <v>29</v>
      </c>
      <c r="B440" s="377" t="s">
        <v>304</v>
      </c>
      <c r="C440" s="383" t="s">
        <v>289</v>
      </c>
      <c r="D440" s="520">
        <f>2.4*D438</f>
        <v>2.52</v>
      </c>
      <c r="E440" s="321">
        <f>+$C$990</f>
        <v>8250.6174612024897</v>
      </c>
      <c r="F440" s="322" t="str">
        <f>IF(A440="MO",D440*E440,"")</f>
        <v/>
      </c>
      <c r="G440" s="322" t="str">
        <f>IF(A440="MA",D440*E440,"")</f>
        <v/>
      </c>
      <c r="H440" s="322">
        <f>IF(A440="HE",D440*E440,"")</f>
        <v>20791.556002230274</v>
      </c>
      <c r="I440" s="323" t="str">
        <f>IF(A440="OT",D440*E440,"")</f>
        <v/>
      </c>
    </row>
    <row r="441" spans="1:9" ht="15.75" customHeight="1" x14ac:dyDescent="0.3">
      <c r="A441" s="375" t="s">
        <v>32</v>
      </c>
      <c r="B441" s="377" t="s">
        <v>97</v>
      </c>
      <c r="C441" s="383" t="s">
        <v>4</v>
      </c>
      <c r="D441" s="520">
        <v>10</v>
      </c>
      <c r="E441" s="367">
        <f>+'especiales '!D34</f>
        <v>8836.2999999999993</v>
      </c>
      <c r="F441" s="322" t="str">
        <f t="shared" si="122"/>
        <v/>
      </c>
      <c r="G441" s="322">
        <f t="shared" si="123"/>
        <v>88363</v>
      </c>
      <c r="H441" s="322" t="str">
        <f t="shared" si="124"/>
        <v/>
      </c>
      <c r="I441" s="323" t="str">
        <f t="shared" si="125"/>
        <v/>
      </c>
    </row>
    <row r="442" spans="1:9" ht="15.75" customHeight="1" x14ac:dyDescent="0.3">
      <c r="A442" s="19" t="s">
        <v>32</v>
      </c>
      <c r="B442" s="13" t="s">
        <v>98</v>
      </c>
      <c r="C442" s="12" t="s">
        <v>5</v>
      </c>
      <c r="D442" s="523">
        <v>6</v>
      </c>
      <c r="E442" s="20">
        <v>3266.6666666666665</v>
      </c>
      <c r="F442" s="21" t="str">
        <f t="shared" si="122"/>
        <v/>
      </c>
      <c r="G442" s="21">
        <f t="shared" si="123"/>
        <v>19600</v>
      </c>
      <c r="H442" s="21" t="str">
        <f t="shared" si="124"/>
        <v/>
      </c>
      <c r="I442" s="22" t="str">
        <f t="shared" si="125"/>
        <v/>
      </c>
    </row>
    <row r="443" spans="1:9" ht="15.75" customHeight="1" x14ac:dyDescent="0.3">
      <c r="A443" s="19" t="s">
        <v>32</v>
      </c>
      <c r="B443" s="13" t="s">
        <v>99</v>
      </c>
      <c r="C443" s="12" t="s">
        <v>5</v>
      </c>
      <c r="D443" s="523">
        <v>9</v>
      </c>
      <c r="E443" s="20">
        <v>2255.6666666666665</v>
      </c>
      <c r="F443" s="21" t="str">
        <f t="shared" si="122"/>
        <v/>
      </c>
      <c r="G443" s="21">
        <f t="shared" si="123"/>
        <v>20301</v>
      </c>
      <c r="H443" s="21" t="str">
        <f t="shared" si="124"/>
        <v/>
      </c>
      <c r="I443" s="22" t="str">
        <f t="shared" si="125"/>
        <v/>
      </c>
    </row>
    <row r="444" spans="1:9" ht="15.6" x14ac:dyDescent="0.3">
      <c r="A444" s="19" t="s">
        <v>32</v>
      </c>
      <c r="B444" s="13" t="s">
        <v>100</v>
      </c>
      <c r="C444" s="12" t="s">
        <v>101</v>
      </c>
      <c r="D444" s="523">
        <v>2</v>
      </c>
      <c r="E444" s="20">
        <v>2850</v>
      </c>
      <c r="F444" s="21" t="str">
        <f t="shared" si="122"/>
        <v/>
      </c>
      <c r="G444" s="21">
        <f t="shared" si="123"/>
        <v>5700</v>
      </c>
      <c r="H444" s="21" t="str">
        <f t="shared" si="124"/>
        <v/>
      </c>
      <c r="I444" s="22" t="str">
        <f t="shared" si="125"/>
        <v/>
      </c>
    </row>
    <row r="445" spans="1:9" ht="15.6" x14ac:dyDescent="0.3">
      <c r="A445" s="350" t="s">
        <v>32</v>
      </c>
      <c r="B445" s="349" t="s">
        <v>41</v>
      </c>
      <c r="C445" s="351" t="s">
        <v>102</v>
      </c>
      <c r="D445" s="412">
        <v>1</v>
      </c>
      <c r="E445" s="321">
        <v>8923</v>
      </c>
      <c r="F445" s="322" t="str">
        <f t="shared" si="122"/>
        <v/>
      </c>
      <c r="G445" s="322">
        <f t="shared" si="123"/>
        <v>8923</v>
      </c>
      <c r="H445" s="322" t="str">
        <f t="shared" si="124"/>
        <v/>
      </c>
      <c r="I445" s="323" t="str">
        <f t="shared" si="125"/>
        <v/>
      </c>
    </row>
    <row r="446" spans="1:9" ht="15.6" x14ac:dyDescent="0.3">
      <c r="A446" s="350" t="s">
        <v>32</v>
      </c>
      <c r="B446" s="349" t="s">
        <v>103</v>
      </c>
      <c r="C446" s="351" t="s">
        <v>5</v>
      </c>
      <c r="D446" s="412">
        <v>3</v>
      </c>
      <c r="E446" s="321">
        <v>1200</v>
      </c>
      <c r="F446" s="322" t="str">
        <f t="shared" si="122"/>
        <v/>
      </c>
      <c r="G446" s="322">
        <f t="shared" si="123"/>
        <v>3600</v>
      </c>
      <c r="H446" s="322" t="str">
        <f t="shared" si="124"/>
        <v/>
      </c>
      <c r="I446" s="323" t="str">
        <f t="shared" si="125"/>
        <v/>
      </c>
    </row>
    <row r="447" spans="1:9" ht="15.75" customHeight="1" x14ac:dyDescent="0.3">
      <c r="A447" s="19" t="s">
        <v>24</v>
      </c>
      <c r="B447" s="61" t="s">
        <v>430</v>
      </c>
      <c r="C447" s="12" t="s">
        <v>25</v>
      </c>
      <c r="D447" s="523">
        <v>0.45</v>
      </c>
      <c r="E447" s="20">
        <f>+'M.O 2020'!B13</f>
        <v>357888</v>
      </c>
      <c r="F447" s="21">
        <f t="shared" si="122"/>
        <v>161049.60000000001</v>
      </c>
      <c r="G447" s="21" t="str">
        <f t="shared" si="123"/>
        <v/>
      </c>
      <c r="H447" s="21" t="str">
        <f t="shared" si="124"/>
        <v/>
      </c>
      <c r="I447" s="22" t="str">
        <f t="shared" si="125"/>
        <v/>
      </c>
    </row>
    <row r="448" spans="1:9" ht="15.6" x14ac:dyDescent="0.3">
      <c r="A448" s="19" t="s">
        <v>29</v>
      </c>
      <c r="B448" s="13" t="s">
        <v>30</v>
      </c>
      <c r="C448" s="12" t="s">
        <v>28</v>
      </c>
      <c r="D448" s="523">
        <v>0.05</v>
      </c>
      <c r="E448" s="20">
        <f>F447</f>
        <v>161049.60000000001</v>
      </c>
      <c r="F448" s="21" t="str">
        <f t="shared" si="122"/>
        <v/>
      </c>
      <c r="G448" s="21" t="str">
        <f t="shared" si="123"/>
        <v/>
      </c>
      <c r="H448" s="21">
        <f t="shared" si="124"/>
        <v>8052.4800000000005</v>
      </c>
      <c r="I448" s="22" t="str">
        <f t="shared" si="125"/>
        <v/>
      </c>
    </row>
    <row r="449" spans="1:9" ht="15.6" x14ac:dyDescent="0.3">
      <c r="A449" s="230"/>
      <c r="B449" s="231"/>
      <c r="C449" s="232"/>
      <c r="D449" s="530"/>
      <c r="E449" s="233"/>
      <c r="F449" s="228" t="str">
        <f t="shared" si="122"/>
        <v/>
      </c>
      <c r="G449" s="228" t="str">
        <f t="shared" si="123"/>
        <v/>
      </c>
      <c r="H449" s="228" t="str">
        <f t="shared" si="124"/>
        <v/>
      </c>
      <c r="I449" s="229" t="str">
        <f t="shared" si="125"/>
        <v/>
      </c>
    </row>
    <row r="450" spans="1:9" ht="16.2" thickBot="1" x14ac:dyDescent="0.35">
      <c r="A450" s="342"/>
      <c r="B450" s="343" t="s">
        <v>31</v>
      </c>
      <c r="C450" s="344">
        <f>ROUND(SUM(F450:I450),0)</f>
        <v>745720</v>
      </c>
      <c r="D450" s="522" t="str">
        <f>+C434</f>
        <v>m3</v>
      </c>
      <c r="E450" s="345"/>
      <c r="F450" s="346">
        <f>SUM(F438:F449)</f>
        <v>161049.60000000001</v>
      </c>
      <c r="G450" s="346">
        <f>SUM(G438:G449)</f>
        <v>555826.61250000005</v>
      </c>
      <c r="H450" s="346">
        <f>SUM(H438:H449)</f>
        <v>28844.036002230274</v>
      </c>
      <c r="I450" s="352">
        <f>SUM(I438:I449)</f>
        <v>0</v>
      </c>
    </row>
    <row r="451" spans="1:9" ht="15.6" thickTop="1" thickBot="1" x14ac:dyDescent="0.35"/>
    <row r="452" spans="1:9" ht="16.2" thickTop="1" x14ac:dyDescent="0.3">
      <c r="A452" s="941" t="s">
        <v>35</v>
      </c>
      <c r="B452" s="942"/>
      <c r="C452" s="943" t="s">
        <v>104</v>
      </c>
      <c r="D452" s="944"/>
      <c r="E452" s="944"/>
      <c r="F452" s="944"/>
      <c r="G452" s="944"/>
      <c r="H452" s="944"/>
      <c r="I452" s="945"/>
    </row>
    <row r="453" spans="1:9" ht="47.25" customHeight="1" x14ac:dyDescent="0.3">
      <c r="A453" s="946" t="s">
        <v>12</v>
      </c>
      <c r="B453" s="947"/>
      <c r="C453" s="948" t="s">
        <v>391</v>
      </c>
      <c r="D453" s="949"/>
      <c r="E453" s="949"/>
      <c r="F453" s="949"/>
      <c r="G453" s="949"/>
      <c r="H453" s="949"/>
      <c r="I453" s="950"/>
    </row>
    <row r="454" spans="1:9" ht="15.6" x14ac:dyDescent="0.3">
      <c r="A454" s="946" t="s">
        <v>13</v>
      </c>
      <c r="B454" s="947"/>
      <c r="C454" s="948" t="s">
        <v>7</v>
      </c>
      <c r="D454" s="949"/>
      <c r="E454" s="949"/>
      <c r="F454" s="949"/>
      <c r="G454" s="949"/>
      <c r="H454" s="949"/>
      <c r="I454" s="950"/>
    </row>
    <row r="455" spans="1:9" ht="15.6" x14ac:dyDescent="0.3">
      <c r="A455" s="863" t="s">
        <v>14</v>
      </c>
      <c r="B455" s="864" t="s">
        <v>15</v>
      </c>
      <c r="C455" s="864" t="s">
        <v>16</v>
      </c>
      <c r="D455" s="866" t="s">
        <v>17</v>
      </c>
      <c r="E455" s="868" t="s">
        <v>18</v>
      </c>
      <c r="F455" s="955" t="s">
        <v>19</v>
      </c>
      <c r="G455" s="956"/>
      <c r="H455" s="956"/>
      <c r="I455" s="957"/>
    </row>
    <row r="456" spans="1:9" ht="31.8" thickBot="1" x14ac:dyDescent="0.35">
      <c r="A456" s="951"/>
      <c r="B456" s="952"/>
      <c r="C456" s="952"/>
      <c r="D456" s="953"/>
      <c r="E456" s="954"/>
      <c r="F456" s="480" t="s">
        <v>20</v>
      </c>
      <c r="G456" s="480" t="s">
        <v>21</v>
      </c>
      <c r="H456" s="480" t="s">
        <v>22</v>
      </c>
      <c r="I456" s="14" t="s">
        <v>23</v>
      </c>
    </row>
    <row r="457" spans="1:9" ht="16.8" thickTop="1" thickBot="1" x14ac:dyDescent="0.35">
      <c r="A457" s="99"/>
      <c r="B457" s="99"/>
      <c r="C457" s="99"/>
      <c r="D457" s="526"/>
      <c r="E457" s="100"/>
      <c r="F457" s="99"/>
      <c r="G457" s="99"/>
      <c r="H457" s="99"/>
      <c r="I457" s="99"/>
    </row>
    <row r="458" spans="1:9" ht="15.75" customHeight="1" thickTop="1" x14ac:dyDescent="0.3">
      <c r="A458" s="15" t="s">
        <v>32</v>
      </c>
      <c r="B458" s="13" t="s">
        <v>105</v>
      </c>
      <c r="C458" s="16" t="s">
        <v>7</v>
      </c>
      <c r="D458" s="515">
        <v>1.05</v>
      </c>
      <c r="E458" s="20">
        <f>+E438</f>
        <v>364530</v>
      </c>
      <c r="F458" s="17" t="str">
        <f t="shared" ref="F458:F466" si="130">IF(A458="MO",D458*E458,"")</f>
        <v/>
      </c>
      <c r="G458" s="17">
        <f t="shared" ref="G458:G466" si="131">IF(A458="MA",D458*E458,"")</f>
        <v>382756.5</v>
      </c>
      <c r="H458" s="17" t="str">
        <f t="shared" ref="H458:H466" si="132">IF(A458="HE",D458*E458,"")</f>
        <v/>
      </c>
      <c r="I458" s="18" t="str">
        <f t="shared" ref="I458:I466" si="133">IF(A458="OT",D458*E458,"")</f>
        <v/>
      </c>
    </row>
    <row r="459" spans="1:9" ht="15.75" customHeight="1" x14ac:dyDescent="0.3">
      <c r="A459" s="350" t="s">
        <v>32</v>
      </c>
      <c r="B459" s="349" t="s">
        <v>106</v>
      </c>
      <c r="C459" s="351" t="s">
        <v>4</v>
      </c>
      <c r="D459" s="412">
        <v>1.5</v>
      </c>
      <c r="E459" s="321">
        <f>+'especiales '!D38</f>
        <v>56179.1</v>
      </c>
      <c r="F459" s="322" t="str">
        <f t="shared" si="130"/>
        <v/>
      </c>
      <c r="G459" s="322">
        <f t="shared" si="131"/>
        <v>84268.65</v>
      </c>
      <c r="H459" s="322" t="str">
        <f t="shared" si="132"/>
        <v/>
      </c>
      <c r="I459" s="323" t="str">
        <f t="shared" si="133"/>
        <v/>
      </c>
    </row>
    <row r="460" spans="1:9" ht="15.75" customHeight="1" x14ac:dyDescent="0.3">
      <c r="A460" s="19" t="s">
        <v>32</v>
      </c>
      <c r="B460" s="13" t="s">
        <v>259</v>
      </c>
      <c r="C460" s="12" t="s">
        <v>90</v>
      </c>
      <c r="D460" s="523">
        <f>D458*150</f>
        <v>157.5</v>
      </c>
      <c r="E460" s="20">
        <f>+E403</f>
        <v>3958</v>
      </c>
      <c r="F460" s="21" t="str">
        <f t="shared" si="130"/>
        <v/>
      </c>
      <c r="G460" s="21">
        <f t="shared" si="131"/>
        <v>623385</v>
      </c>
      <c r="H460" s="21" t="str">
        <f t="shared" si="132"/>
        <v/>
      </c>
      <c r="I460" s="22" t="str">
        <f t="shared" si="133"/>
        <v/>
      </c>
    </row>
    <row r="461" spans="1:9" ht="15.75" customHeight="1" x14ac:dyDescent="0.3">
      <c r="A461" s="375" t="s">
        <v>29</v>
      </c>
      <c r="B461" s="377" t="s">
        <v>304</v>
      </c>
      <c r="C461" s="383" t="s">
        <v>289</v>
      </c>
      <c r="D461" s="520">
        <v>2.4</v>
      </c>
      <c r="E461" s="321">
        <f>+$C$990</f>
        <v>8250.6174612024897</v>
      </c>
      <c r="F461" s="322" t="str">
        <f>IF(A461="MO",D461*E461,"")</f>
        <v/>
      </c>
      <c r="G461" s="322" t="str">
        <f>IF(A461="MA",D461*E461,"")</f>
        <v/>
      </c>
      <c r="H461" s="322">
        <f>IF(A461="HE",D461*E461,"")</f>
        <v>19801.481906885976</v>
      </c>
      <c r="I461" s="323" t="str">
        <f>IF(A461="OT",D461*E461,"")</f>
        <v/>
      </c>
    </row>
    <row r="462" spans="1:9" ht="15.75" customHeight="1" x14ac:dyDescent="0.3">
      <c r="A462" s="19" t="s">
        <v>24</v>
      </c>
      <c r="B462" s="61" t="s">
        <v>430</v>
      </c>
      <c r="C462" s="12" t="s">
        <v>25</v>
      </c>
      <c r="D462" s="523">
        <v>0.6</v>
      </c>
      <c r="E462" s="20">
        <f>+'M.O 2020'!B13</f>
        <v>357888</v>
      </c>
      <c r="F462" s="21">
        <f t="shared" si="130"/>
        <v>214732.79999999999</v>
      </c>
      <c r="G462" s="21" t="str">
        <f t="shared" si="131"/>
        <v/>
      </c>
      <c r="H462" s="21" t="str">
        <f t="shared" si="132"/>
        <v/>
      </c>
      <c r="I462" s="22" t="str">
        <f t="shared" si="133"/>
        <v/>
      </c>
    </row>
    <row r="463" spans="1:9" ht="15.6" x14ac:dyDescent="0.3">
      <c r="A463" s="19" t="s">
        <v>29</v>
      </c>
      <c r="B463" s="13" t="s">
        <v>30</v>
      </c>
      <c r="C463" s="12" t="s">
        <v>28</v>
      </c>
      <c r="D463" s="523">
        <v>0.1</v>
      </c>
      <c r="E463" s="20">
        <f>F462</f>
        <v>214732.79999999999</v>
      </c>
      <c r="F463" s="21" t="str">
        <f t="shared" si="130"/>
        <v/>
      </c>
      <c r="G463" s="21" t="str">
        <f t="shared" si="131"/>
        <v/>
      </c>
      <c r="H463" s="21">
        <f t="shared" si="132"/>
        <v>21473.279999999999</v>
      </c>
      <c r="I463" s="22" t="str">
        <f t="shared" si="133"/>
        <v/>
      </c>
    </row>
    <row r="464" spans="1:9" ht="15.6" x14ac:dyDescent="0.3">
      <c r="A464" s="64" t="s">
        <v>32</v>
      </c>
      <c r="B464" s="52" t="s">
        <v>248</v>
      </c>
      <c r="C464" s="276" t="s">
        <v>235</v>
      </c>
      <c r="D464" s="542">
        <v>1</v>
      </c>
      <c r="E464" s="20">
        <v>867510</v>
      </c>
      <c r="F464" s="279" t="str">
        <f t="shared" si="130"/>
        <v/>
      </c>
      <c r="G464" s="279">
        <f t="shared" si="131"/>
        <v>867510</v>
      </c>
      <c r="H464" s="279" t="str">
        <f t="shared" si="132"/>
        <v/>
      </c>
      <c r="I464" s="280" t="str">
        <f t="shared" si="133"/>
        <v/>
      </c>
    </row>
    <row r="465" spans="1:9" ht="15.6" x14ac:dyDescent="0.3">
      <c r="A465" s="19" t="s">
        <v>29</v>
      </c>
      <c r="B465" s="13" t="s">
        <v>107</v>
      </c>
      <c r="C465" s="12" t="s">
        <v>25</v>
      </c>
      <c r="D465" s="523">
        <v>0.5</v>
      </c>
      <c r="E465" s="20">
        <v>40653</v>
      </c>
      <c r="F465" s="21" t="str">
        <f t="shared" si="130"/>
        <v/>
      </c>
      <c r="G465" s="21" t="str">
        <f t="shared" si="131"/>
        <v/>
      </c>
      <c r="H465" s="21">
        <f t="shared" si="132"/>
        <v>20326.5</v>
      </c>
      <c r="I465" s="22" t="str">
        <f t="shared" si="133"/>
        <v/>
      </c>
    </row>
    <row r="466" spans="1:9" ht="15.75" customHeight="1" x14ac:dyDescent="0.3">
      <c r="A466" s="230"/>
      <c r="B466" s="231"/>
      <c r="C466" s="232"/>
      <c r="D466" s="530"/>
      <c r="E466" s="233"/>
      <c r="F466" s="228" t="str">
        <f t="shared" si="130"/>
        <v/>
      </c>
      <c r="G466" s="228" t="str">
        <f t="shared" si="131"/>
        <v/>
      </c>
      <c r="H466" s="228" t="str">
        <f t="shared" si="132"/>
        <v/>
      </c>
      <c r="I466" s="229" t="str">
        <f t="shared" si="133"/>
        <v/>
      </c>
    </row>
    <row r="467" spans="1:9" ht="16.2" thickBot="1" x14ac:dyDescent="0.35">
      <c r="A467" s="23"/>
      <c r="B467" s="24" t="s">
        <v>31</v>
      </c>
      <c r="C467" s="25">
        <f>ROUND(SUM(F467:I467),0)</f>
        <v>2234254</v>
      </c>
      <c r="D467" s="516" t="str">
        <f>+C454</f>
        <v>m3</v>
      </c>
      <c r="E467" s="26"/>
      <c r="F467" s="27">
        <f>SUM(F458:F466)</f>
        <v>214732.79999999999</v>
      </c>
      <c r="G467" s="27">
        <f>SUM(G458:G466)</f>
        <v>1957920.15</v>
      </c>
      <c r="H467" s="27">
        <f>SUM(H458:H466)</f>
        <v>61601.261906885979</v>
      </c>
      <c r="I467" s="28">
        <f>SUM(I458:I466)</f>
        <v>0</v>
      </c>
    </row>
    <row r="468" spans="1:9" ht="15.6" thickTop="1" thickBot="1" x14ac:dyDescent="0.35"/>
    <row r="469" spans="1:9" ht="16.2" thickTop="1" x14ac:dyDescent="0.3">
      <c r="A469" s="854" t="s">
        <v>39</v>
      </c>
      <c r="B469" s="855"/>
      <c r="C469" s="856" t="s">
        <v>482</v>
      </c>
      <c r="D469" s="856"/>
      <c r="E469" s="856"/>
      <c r="F469" s="856"/>
      <c r="G469" s="856"/>
      <c r="H469" s="856"/>
      <c r="I469" s="857"/>
    </row>
    <row r="470" spans="1:9" ht="32.25" customHeight="1" x14ac:dyDescent="0.3">
      <c r="A470" s="858" t="s">
        <v>12</v>
      </c>
      <c r="B470" s="859"/>
      <c r="C470" s="860" t="s">
        <v>779</v>
      </c>
      <c r="D470" s="860"/>
      <c r="E470" s="860"/>
      <c r="F470" s="860"/>
      <c r="G470" s="860"/>
      <c r="H470" s="860"/>
      <c r="I470" s="861"/>
    </row>
    <row r="471" spans="1:9" ht="15.75" customHeight="1" x14ac:dyDescent="0.3">
      <c r="A471" s="858" t="s">
        <v>13</v>
      </c>
      <c r="B471" s="859"/>
      <c r="C471" s="860" t="s">
        <v>90</v>
      </c>
      <c r="D471" s="860"/>
      <c r="E471" s="860"/>
      <c r="F471" s="860"/>
      <c r="G471" s="860"/>
      <c r="H471" s="860"/>
      <c r="I471" s="861"/>
    </row>
    <row r="472" spans="1:9" ht="15.6" x14ac:dyDescent="0.3">
      <c r="A472" s="862" t="s">
        <v>14</v>
      </c>
      <c r="B472" s="848" t="s">
        <v>15</v>
      </c>
      <c r="C472" s="848" t="s">
        <v>16</v>
      </c>
      <c r="D472" s="865" t="s">
        <v>17</v>
      </c>
      <c r="E472" s="867" t="s">
        <v>18</v>
      </c>
      <c r="F472" s="848" t="s">
        <v>19</v>
      </c>
      <c r="G472" s="848"/>
      <c r="H472" s="848"/>
      <c r="I472" s="869"/>
    </row>
    <row r="473" spans="1:9" ht="31.8" thickBot="1" x14ac:dyDescent="0.35">
      <c r="A473" s="863"/>
      <c r="B473" s="864"/>
      <c r="C473" s="864"/>
      <c r="D473" s="866"/>
      <c r="E473" s="868"/>
      <c r="F473" s="480" t="s">
        <v>20</v>
      </c>
      <c r="G473" s="480" t="s">
        <v>21</v>
      </c>
      <c r="H473" s="480" t="s">
        <v>22</v>
      </c>
      <c r="I473" s="14" t="s">
        <v>23</v>
      </c>
    </row>
    <row r="474" spans="1:9" ht="16.8" thickTop="1" thickBot="1" x14ac:dyDescent="0.35">
      <c r="A474" s="9"/>
      <c r="B474" s="9"/>
      <c r="C474" s="9"/>
      <c r="D474" s="513"/>
      <c r="E474" s="10"/>
      <c r="F474" s="9"/>
      <c r="G474" s="9"/>
      <c r="H474" s="9"/>
      <c r="I474" s="9"/>
    </row>
    <row r="475" spans="1:9" ht="16.2" thickTop="1" x14ac:dyDescent="0.3">
      <c r="A475" s="15" t="s">
        <v>32</v>
      </c>
      <c r="B475" s="11" t="s">
        <v>260</v>
      </c>
      <c r="C475" s="16" t="s">
        <v>90</v>
      </c>
      <c r="D475" s="515">
        <v>1</v>
      </c>
      <c r="E475" s="53">
        <v>2779</v>
      </c>
      <c r="F475" s="17" t="str">
        <f>IF(A475="MO",D475*E475,"")</f>
        <v/>
      </c>
      <c r="G475" s="17">
        <f>IF(A475="MA",D475*E475,"")</f>
        <v>2779</v>
      </c>
      <c r="H475" s="17" t="str">
        <f>IF(A475="HE",D475*E475,"")</f>
        <v/>
      </c>
      <c r="I475" s="18" t="str">
        <f>IF(A475="OT",D475*E475,"")</f>
        <v/>
      </c>
    </row>
    <row r="476" spans="1:9" ht="15.75" customHeight="1" x14ac:dyDescent="0.3">
      <c r="A476" s="19" t="s">
        <v>32</v>
      </c>
      <c r="B476" s="13" t="s">
        <v>108</v>
      </c>
      <c r="C476" s="12" t="s">
        <v>90</v>
      </c>
      <c r="D476" s="523">
        <v>0.02</v>
      </c>
      <c r="E476" s="20">
        <v>4013</v>
      </c>
      <c r="F476" s="21" t="str">
        <f>IF(A476="MO",D476*E476,"")</f>
        <v/>
      </c>
      <c r="G476" s="21">
        <f>IF(A476="MA",D476*E476,"")</f>
        <v>80.260000000000005</v>
      </c>
      <c r="H476" s="21" t="str">
        <f>IF(A476="HE",D476*E476,"")</f>
        <v/>
      </c>
      <c r="I476" s="22" t="str">
        <f>IF(A476="OT",D476*E476,"")</f>
        <v/>
      </c>
    </row>
    <row r="477" spans="1:9" ht="15.75" customHeight="1" x14ac:dyDescent="0.3">
      <c r="A477" s="19" t="s">
        <v>24</v>
      </c>
      <c r="B477" s="13" t="s">
        <v>227</v>
      </c>
      <c r="C477" s="12" t="s">
        <v>25</v>
      </c>
      <c r="D477" s="523">
        <v>0.01</v>
      </c>
      <c r="E477" s="20">
        <f>+'M.O 2020'!B4</f>
        <v>60848</v>
      </c>
      <c r="F477" s="21">
        <f>IF(A477="MO",D477*E477,"")</f>
        <v>608.48</v>
      </c>
      <c r="G477" s="21" t="str">
        <f>IF(A477="MA",D477*E477,"")</f>
        <v/>
      </c>
      <c r="H477" s="21" t="str">
        <f>IF(A477="HE",D477*E477,"")</f>
        <v/>
      </c>
      <c r="I477" s="22" t="str">
        <f>IF(A477="OT",D477*E477,"")</f>
        <v/>
      </c>
    </row>
    <row r="478" spans="1:9" ht="15.75" customHeight="1" x14ac:dyDescent="0.3">
      <c r="A478" s="15" t="s">
        <v>32</v>
      </c>
      <c r="B478" s="13" t="s">
        <v>207</v>
      </c>
      <c r="C478" s="12" t="s">
        <v>112</v>
      </c>
      <c r="D478" s="524">
        <v>0.05</v>
      </c>
      <c r="E478" s="20">
        <f>+G475+G476+H480+H481</f>
        <v>3159.0600000000004</v>
      </c>
      <c r="F478" s="21" t="str">
        <f t="shared" ref="F478:F480" si="134">IF(A478="MO",D478*E478,"")</f>
        <v/>
      </c>
      <c r="G478" s="21">
        <f t="shared" ref="G478:G480" si="135">IF(A478="MA",D478*E478,"")</f>
        <v>157.95300000000003</v>
      </c>
      <c r="H478" s="21" t="str">
        <f t="shared" ref="H478:H480" si="136">IF(A478="HE",D478*E478,"")</f>
        <v/>
      </c>
      <c r="I478" s="22" t="str">
        <f t="shared" ref="I478:I480" si="137">IF(A478="OT",D478*E478,"")</f>
        <v/>
      </c>
    </row>
    <row r="479" spans="1:9" ht="15.75" customHeight="1" x14ac:dyDescent="0.3">
      <c r="A479" s="15" t="s">
        <v>29</v>
      </c>
      <c r="B479" s="13" t="s">
        <v>30</v>
      </c>
      <c r="C479" s="12" t="s">
        <v>28</v>
      </c>
      <c r="D479" s="524">
        <v>0.05</v>
      </c>
      <c r="E479" s="20">
        <f>+F477</f>
        <v>608.48</v>
      </c>
      <c r="F479" s="21" t="str">
        <f>IF(A479="MO",D479*E479,"")</f>
        <v/>
      </c>
      <c r="G479" s="21" t="str">
        <f>IF(A479="MA",D479*E479,"")</f>
        <v/>
      </c>
      <c r="H479" s="21">
        <f>IF(A479="HE",D479*E479,"")</f>
        <v>30.424000000000003</v>
      </c>
      <c r="I479" s="22" t="str">
        <f>IF(A479="OT",D479*E479,"")</f>
        <v/>
      </c>
    </row>
    <row r="480" spans="1:9" ht="15.6" x14ac:dyDescent="0.3">
      <c r="A480" s="15" t="s">
        <v>29</v>
      </c>
      <c r="B480" s="13" t="s">
        <v>261</v>
      </c>
      <c r="C480" s="12" t="s">
        <v>235</v>
      </c>
      <c r="D480" s="523">
        <v>0.02</v>
      </c>
      <c r="E480" s="20">
        <v>11590</v>
      </c>
      <c r="F480" s="21" t="str">
        <f t="shared" si="134"/>
        <v/>
      </c>
      <c r="G480" s="21" t="str">
        <f t="shared" si="135"/>
        <v/>
      </c>
      <c r="H480" s="21">
        <f t="shared" si="136"/>
        <v>231.8</v>
      </c>
      <c r="I480" s="22" t="str">
        <f t="shared" si="137"/>
        <v/>
      </c>
    </row>
    <row r="481" spans="1:9" ht="15.6" x14ac:dyDescent="0.3">
      <c r="A481" s="15" t="s">
        <v>29</v>
      </c>
      <c r="B481" s="13" t="s">
        <v>262</v>
      </c>
      <c r="C481" s="12" t="s">
        <v>235</v>
      </c>
      <c r="D481" s="523">
        <v>0.02</v>
      </c>
      <c r="E481" s="20">
        <v>3400</v>
      </c>
      <c r="F481" s="21" t="str">
        <f>IF(A481="MO",D481*E481,"")</f>
        <v/>
      </c>
      <c r="G481" s="21" t="str">
        <f>IF(A481="MA",D481*E481,"")</f>
        <v/>
      </c>
      <c r="H481" s="21">
        <f>IF(A481="HE",D481*E481,"")</f>
        <v>68</v>
      </c>
      <c r="I481" s="22" t="str">
        <f>IF(A481="OT",D481*E481,"")</f>
        <v/>
      </c>
    </row>
    <row r="482" spans="1:9" ht="15.6" x14ac:dyDescent="0.3">
      <c r="A482" s="19"/>
      <c r="B482" s="488"/>
      <c r="C482" s="12"/>
      <c r="D482" s="523"/>
      <c r="E482" s="20"/>
      <c r="F482" s="21" t="str">
        <f>IF(A482="MO",D482*E482,"")</f>
        <v/>
      </c>
      <c r="G482" s="21" t="str">
        <f>IF(A482="MA",D482*E482,"")</f>
        <v/>
      </c>
      <c r="H482" s="21" t="str">
        <f>IF(A482="HE",D482*E482,"")</f>
        <v/>
      </c>
      <c r="I482" s="22" t="str">
        <f>IF(A482="OT",D482*E482,"")</f>
        <v/>
      </c>
    </row>
    <row r="483" spans="1:9" ht="16.2" thickBot="1" x14ac:dyDescent="0.35">
      <c r="A483" s="23"/>
      <c r="B483" s="24" t="s">
        <v>31</v>
      </c>
      <c r="C483" s="25">
        <f>ROUND(SUM(F483:I483),0)</f>
        <v>3956</v>
      </c>
      <c r="D483" s="516" t="s">
        <v>90</v>
      </c>
      <c r="E483" s="26"/>
      <c r="F483" s="27">
        <f>SUM(F475:F482)</f>
        <v>608.48</v>
      </c>
      <c r="G483" s="27">
        <f>SUM(G475:G482)</f>
        <v>3017.2130000000002</v>
      </c>
      <c r="H483" s="27">
        <f>SUM(H475:H482)</f>
        <v>330.22399999999999</v>
      </c>
      <c r="I483" s="28">
        <f>SUM(I475:I482)</f>
        <v>0</v>
      </c>
    </row>
    <row r="484" spans="1:9" ht="15.6" thickTop="1" thickBot="1" x14ac:dyDescent="0.35"/>
    <row r="485" spans="1:9" ht="15.75" customHeight="1" thickTop="1" x14ac:dyDescent="0.3">
      <c r="A485" s="1063" t="s">
        <v>35</v>
      </c>
      <c r="B485" s="1064"/>
      <c r="C485" s="1065" t="s">
        <v>157</v>
      </c>
      <c r="D485" s="1066"/>
      <c r="E485" s="1066"/>
      <c r="F485" s="1066"/>
      <c r="G485" s="1066"/>
      <c r="H485" s="1066"/>
      <c r="I485" s="1067"/>
    </row>
    <row r="486" spans="1:9" ht="44.25" customHeight="1" x14ac:dyDescent="0.3">
      <c r="A486" s="1068" t="s">
        <v>12</v>
      </c>
      <c r="B486" s="1069"/>
      <c r="C486" s="1031" t="s">
        <v>158</v>
      </c>
      <c r="D486" s="1032"/>
      <c r="E486" s="1032"/>
      <c r="F486" s="1032"/>
      <c r="G486" s="1032"/>
      <c r="H486" s="1032"/>
      <c r="I486" s="1033"/>
    </row>
    <row r="487" spans="1:9" ht="15.6" x14ac:dyDescent="0.3">
      <c r="A487" s="1068" t="s">
        <v>13</v>
      </c>
      <c r="B487" s="1069"/>
      <c r="C487" s="1070" t="s">
        <v>5</v>
      </c>
      <c r="D487" s="1071"/>
      <c r="E487" s="1071"/>
      <c r="F487" s="1071"/>
      <c r="G487" s="1071"/>
      <c r="H487" s="1071"/>
      <c r="I487" s="1072"/>
    </row>
    <row r="488" spans="1:9" ht="15.6" x14ac:dyDescent="0.3">
      <c r="A488" s="1073" t="s">
        <v>14</v>
      </c>
      <c r="B488" s="1075" t="s">
        <v>15</v>
      </c>
      <c r="C488" s="1075" t="s">
        <v>16</v>
      </c>
      <c r="D488" s="1077" t="s">
        <v>17</v>
      </c>
      <c r="E488" s="1079" t="s">
        <v>18</v>
      </c>
      <c r="F488" s="1081" t="s">
        <v>19</v>
      </c>
      <c r="G488" s="1082"/>
      <c r="H488" s="1082"/>
      <c r="I488" s="1083"/>
    </row>
    <row r="489" spans="1:9" ht="31.8" thickBot="1" x14ac:dyDescent="0.35">
      <c r="A489" s="1074"/>
      <c r="B489" s="1076"/>
      <c r="C489" s="1076"/>
      <c r="D489" s="1078"/>
      <c r="E489" s="1080"/>
      <c r="F489" s="485" t="s">
        <v>20</v>
      </c>
      <c r="G489" s="485" t="s">
        <v>21</v>
      </c>
      <c r="H489" s="485" t="s">
        <v>22</v>
      </c>
      <c r="I489" s="348" t="s">
        <v>23</v>
      </c>
    </row>
    <row r="490" spans="1:9" ht="16.8" thickTop="1" thickBot="1" x14ac:dyDescent="0.35">
      <c r="A490" s="263"/>
      <c r="B490" s="263"/>
      <c r="C490" s="263"/>
      <c r="D490" s="552"/>
      <c r="E490" s="264"/>
      <c r="F490" s="263"/>
      <c r="G490" s="263"/>
      <c r="H490" s="263"/>
      <c r="I490" s="263"/>
    </row>
    <row r="491" spans="1:9" ht="15.75" customHeight="1" thickTop="1" x14ac:dyDescent="0.3">
      <c r="A491" s="588" t="s">
        <v>32</v>
      </c>
      <c r="B491" s="609" t="s">
        <v>159</v>
      </c>
      <c r="C491" s="590" t="s">
        <v>5</v>
      </c>
      <c r="D491" s="591">
        <v>1.05</v>
      </c>
      <c r="E491" s="592">
        <f>71000/6</f>
        <v>11833.333333333334</v>
      </c>
      <c r="F491" s="610" t="str">
        <f t="shared" ref="F491:F498" si="138">IF(A491="MO",D491*E491,"")</f>
        <v/>
      </c>
      <c r="G491" s="593">
        <f t="shared" ref="G491:G498" si="139">IF(A491="MA",D491*E491,"")</f>
        <v>12425.000000000002</v>
      </c>
      <c r="H491" s="593" t="str">
        <f t="shared" ref="H491:H498" si="140">IF(A491="HE",D491*E491,"")</f>
        <v/>
      </c>
      <c r="I491" s="594" t="str">
        <f t="shared" ref="I491:I498" si="141">IF(A491="OT",D491*E491,"")</f>
        <v/>
      </c>
    </row>
    <row r="492" spans="1:9" ht="15.75" customHeight="1" x14ac:dyDescent="0.3">
      <c r="A492" s="588" t="s">
        <v>32</v>
      </c>
      <c r="B492" s="609" t="s">
        <v>160</v>
      </c>
      <c r="C492" s="590" t="s">
        <v>5</v>
      </c>
      <c r="D492" s="591">
        <v>3</v>
      </c>
      <c r="E492" s="592">
        <v>1658.3333333333333</v>
      </c>
      <c r="F492" s="610" t="str">
        <f t="shared" si="138"/>
        <v/>
      </c>
      <c r="G492" s="593">
        <f t="shared" si="139"/>
        <v>4975</v>
      </c>
      <c r="H492" s="593" t="str">
        <f t="shared" si="140"/>
        <v/>
      </c>
      <c r="I492" s="594" t="str">
        <f t="shared" si="141"/>
        <v/>
      </c>
    </row>
    <row r="493" spans="1:9" ht="15.6" x14ac:dyDescent="0.3">
      <c r="A493" s="596" t="s">
        <v>32</v>
      </c>
      <c r="B493" s="611" t="s">
        <v>161</v>
      </c>
      <c r="C493" s="583" t="s">
        <v>7</v>
      </c>
      <c r="D493" s="584">
        <v>0.02</v>
      </c>
      <c r="E493" s="599">
        <f>+'especiales '!D42</f>
        <v>412560.5</v>
      </c>
      <c r="F493" s="612" t="str">
        <f t="shared" si="138"/>
        <v/>
      </c>
      <c r="G493" s="600">
        <f t="shared" si="139"/>
        <v>8251.2100000000009</v>
      </c>
      <c r="H493" s="600" t="str">
        <f t="shared" si="140"/>
        <v/>
      </c>
      <c r="I493" s="601" t="str">
        <f t="shared" si="141"/>
        <v/>
      </c>
    </row>
    <row r="494" spans="1:9" ht="31.2" x14ac:dyDescent="0.3">
      <c r="A494" s="596" t="s">
        <v>32</v>
      </c>
      <c r="B494" s="611" t="s">
        <v>162</v>
      </c>
      <c r="C494" s="583" t="s">
        <v>5</v>
      </c>
      <c r="D494" s="584">
        <v>1</v>
      </c>
      <c r="E494" s="599">
        <f>+'especiales '!D43</f>
        <v>117107.2</v>
      </c>
      <c r="F494" s="612" t="str">
        <f t="shared" si="138"/>
        <v/>
      </c>
      <c r="G494" s="600">
        <f t="shared" si="139"/>
        <v>117107.2</v>
      </c>
      <c r="H494" s="600" t="str">
        <f t="shared" si="140"/>
        <v/>
      </c>
      <c r="I494" s="601" t="str">
        <f t="shared" si="141"/>
        <v/>
      </c>
    </row>
    <row r="495" spans="1:9" ht="15.6" x14ac:dyDescent="0.3">
      <c r="A495" s="596" t="s">
        <v>26</v>
      </c>
      <c r="B495" s="611" t="s">
        <v>163</v>
      </c>
      <c r="C495" s="583" t="s">
        <v>102</v>
      </c>
      <c r="D495" s="584">
        <v>1</v>
      </c>
      <c r="E495" s="599">
        <f>+'especiales '!D44</f>
        <v>10491.6</v>
      </c>
      <c r="F495" s="612" t="str">
        <f t="shared" si="138"/>
        <v/>
      </c>
      <c r="G495" s="600" t="str">
        <f t="shared" si="139"/>
        <v/>
      </c>
      <c r="H495" s="600" t="str">
        <f t="shared" si="140"/>
        <v/>
      </c>
      <c r="I495" s="601">
        <f t="shared" si="141"/>
        <v>10491.6</v>
      </c>
    </row>
    <row r="496" spans="1:9" ht="15.75" customHeight="1" x14ac:dyDescent="0.3">
      <c r="A496" s="596" t="s">
        <v>24</v>
      </c>
      <c r="B496" s="613" t="s">
        <v>164</v>
      </c>
      <c r="C496" s="614" t="s">
        <v>102</v>
      </c>
      <c r="D496" s="615">
        <v>1</v>
      </c>
      <c r="E496" s="599">
        <f>+'especiales '!D45</f>
        <v>54987.199999999997</v>
      </c>
      <c r="F496" s="612">
        <f t="shared" si="138"/>
        <v>54987.199999999997</v>
      </c>
      <c r="G496" s="600" t="str">
        <f t="shared" si="139"/>
        <v/>
      </c>
      <c r="H496" s="600" t="str">
        <f t="shared" si="140"/>
        <v/>
      </c>
      <c r="I496" s="601" t="str">
        <f t="shared" si="141"/>
        <v/>
      </c>
    </row>
    <row r="497" spans="1:9" ht="15.6" x14ac:dyDescent="0.3">
      <c r="A497" s="616" t="s">
        <v>29</v>
      </c>
      <c r="B497" s="617" t="s">
        <v>30</v>
      </c>
      <c r="C497" s="618" t="s">
        <v>28</v>
      </c>
      <c r="D497" s="619">
        <v>0.05</v>
      </c>
      <c r="E497" s="620">
        <f>F496</f>
        <v>54987.199999999997</v>
      </c>
      <c r="F497" s="610" t="str">
        <f t="shared" si="138"/>
        <v/>
      </c>
      <c r="G497" s="593" t="str">
        <f t="shared" si="139"/>
        <v/>
      </c>
      <c r="H497" s="593">
        <f t="shared" si="140"/>
        <v>2749.36</v>
      </c>
      <c r="I497" s="594" t="str">
        <f t="shared" si="141"/>
        <v/>
      </c>
    </row>
    <row r="498" spans="1:9" ht="15.6" x14ac:dyDescent="0.3">
      <c r="A498" s="621"/>
      <c r="B498" s="622"/>
      <c r="C498" s="590"/>
      <c r="D498" s="595"/>
      <c r="E498" s="592"/>
      <c r="F498" s="593" t="str">
        <f t="shared" si="138"/>
        <v/>
      </c>
      <c r="G498" s="593" t="str">
        <f t="shared" si="139"/>
        <v/>
      </c>
      <c r="H498" s="593" t="str">
        <f t="shared" si="140"/>
        <v/>
      </c>
      <c r="I498" s="594" t="str">
        <f t="shared" si="141"/>
        <v/>
      </c>
    </row>
    <row r="499" spans="1:9" ht="16.2" thickBot="1" x14ac:dyDescent="0.35">
      <c r="A499" s="623"/>
      <c r="B499" s="624" t="s">
        <v>31</v>
      </c>
      <c r="C499" s="625">
        <f>ROUND(SUM(F499:I499),0)</f>
        <v>210987</v>
      </c>
      <c r="D499" s="626" t="str">
        <f>+C487</f>
        <v>m</v>
      </c>
      <c r="E499" s="627"/>
      <c r="F499" s="628">
        <f>SUM(F491:F498)</f>
        <v>54987.199999999997</v>
      </c>
      <c r="G499" s="628">
        <f>SUM(G491:G498)</f>
        <v>142758.41</v>
      </c>
      <c r="H499" s="628">
        <f>SUM(H491:H498)</f>
        <v>2749.36</v>
      </c>
      <c r="I499" s="629">
        <f>SUM(I491:I498)</f>
        <v>10491.6</v>
      </c>
    </row>
    <row r="500" spans="1:9" ht="15.6" thickTop="1" thickBot="1" x14ac:dyDescent="0.35">
      <c r="A500" s="630"/>
      <c r="B500" s="630"/>
      <c r="C500" s="630"/>
      <c r="D500" s="631"/>
      <c r="E500" s="632"/>
      <c r="F500" s="630"/>
      <c r="G500" s="630"/>
      <c r="H500" s="630"/>
      <c r="I500" s="630"/>
    </row>
    <row r="501" spans="1:9" ht="16.2" thickTop="1" x14ac:dyDescent="0.3">
      <c r="A501" s="1084" t="s">
        <v>39</v>
      </c>
      <c r="B501" s="1085"/>
      <c r="C501" s="1086" t="s">
        <v>165</v>
      </c>
      <c r="D501" s="1086"/>
      <c r="E501" s="1086"/>
      <c r="F501" s="1086"/>
      <c r="G501" s="1086"/>
      <c r="H501" s="1086"/>
      <c r="I501" s="1087"/>
    </row>
    <row r="502" spans="1:9" ht="31.5" customHeight="1" x14ac:dyDescent="0.3">
      <c r="A502" s="1088" t="s">
        <v>12</v>
      </c>
      <c r="B502" s="1089"/>
      <c r="C502" s="1090" t="s">
        <v>166</v>
      </c>
      <c r="D502" s="1090"/>
      <c r="E502" s="1090"/>
      <c r="F502" s="1090"/>
      <c r="G502" s="1090"/>
      <c r="H502" s="1090"/>
      <c r="I502" s="1091"/>
    </row>
    <row r="503" spans="1:9" ht="15.6" x14ac:dyDescent="0.3">
      <c r="A503" s="1088" t="s">
        <v>13</v>
      </c>
      <c r="B503" s="1089"/>
      <c r="C503" s="1090" t="s">
        <v>5</v>
      </c>
      <c r="D503" s="1090"/>
      <c r="E503" s="1090"/>
      <c r="F503" s="1090"/>
      <c r="G503" s="1090"/>
      <c r="H503" s="1090"/>
      <c r="I503" s="1091"/>
    </row>
    <row r="504" spans="1:9" ht="20.25" customHeight="1" x14ac:dyDescent="0.3">
      <c r="A504" s="862" t="s">
        <v>14</v>
      </c>
      <c r="B504" s="848" t="s">
        <v>15</v>
      </c>
      <c r="C504" s="848" t="s">
        <v>16</v>
      </c>
      <c r="D504" s="865" t="s">
        <v>17</v>
      </c>
      <c r="E504" s="867" t="s">
        <v>18</v>
      </c>
      <c r="F504" s="848" t="s">
        <v>19</v>
      </c>
      <c r="G504" s="848"/>
      <c r="H504" s="848"/>
      <c r="I504" s="869"/>
    </row>
    <row r="505" spans="1:9" ht="31.8" thickBot="1" x14ac:dyDescent="0.35">
      <c r="A505" s="863"/>
      <c r="B505" s="864"/>
      <c r="C505" s="864"/>
      <c r="D505" s="866"/>
      <c r="E505" s="868"/>
      <c r="F505" s="480" t="s">
        <v>20</v>
      </c>
      <c r="G505" s="480" t="s">
        <v>21</v>
      </c>
      <c r="H505" s="480" t="s">
        <v>22</v>
      </c>
      <c r="I505" s="14" t="s">
        <v>23</v>
      </c>
    </row>
    <row r="506" spans="1:9" ht="16.8" thickTop="1" thickBot="1" x14ac:dyDescent="0.35">
      <c r="A506" s="99"/>
      <c r="B506" s="99"/>
      <c r="C506" s="99"/>
      <c r="D506" s="526"/>
      <c r="E506" s="100"/>
      <c r="F506" s="99"/>
      <c r="G506" s="99"/>
      <c r="H506" s="99"/>
      <c r="I506" s="99"/>
    </row>
    <row r="507" spans="1:9" ht="32.25" customHeight="1" thickTop="1" x14ac:dyDescent="0.3">
      <c r="A507" s="633" t="s">
        <v>32</v>
      </c>
      <c r="B507" s="634" t="s">
        <v>167</v>
      </c>
      <c r="C507" s="635" t="s">
        <v>5</v>
      </c>
      <c r="D507" s="636">
        <v>1</v>
      </c>
      <c r="E507" s="585">
        <f>+'especiales '!D49</f>
        <v>13987.9</v>
      </c>
      <c r="F507" s="586" t="str">
        <f>IF(A507="MO",D507*E507,"")</f>
        <v/>
      </c>
      <c r="G507" s="586">
        <f>IF(A507="MA",D507*E507,"")</f>
        <v>13987.9</v>
      </c>
      <c r="H507" s="586" t="str">
        <f>IF(A507="HE",D507*E507,"")</f>
        <v/>
      </c>
      <c r="I507" s="587" t="str">
        <f>IF(A507="OT",D507*E507,"")</f>
        <v/>
      </c>
    </row>
    <row r="508" spans="1:9" ht="15.6" x14ac:dyDescent="0.3">
      <c r="A508" s="596" t="s">
        <v>32</v>
      </c>
      <c r="B508" s="637" t="s">
        <v>168</v>
      </c>
      <c r="C508" s="638" t="s">
        <v>69</v>
      </c>
      <c r="D508" s="639">
        <v>0.15</v>
      </c>
      <c r="E508" s="585">
        <v>21696</v>
      </c>
      <c r="F508" s="586"/>
      <c r="G508" s="586">
        <f t="shared" ref="G508:G509" si="142">IF(A508="MA",D508*E508,"")</f>
        <v>3254.4</v>
      </c>
      <c r="H508" s="586"/>
      <c r="I508" s="587"/>
    </row>
    <row r="509" spans="1:9" ht="15.6" x14ac:dyDescent="0.3">
      <c r="A509" s="596" t="s">
        <v>32</v>
      </c>
      <c r="B509" s="637" t="s">
        <v>169</v>
      </c>
      <c r="C509" s="583" t="s">
        <v>36</v>
      </c>
      <c r="D509" s="584">
        <v>0.125</v>
      </c>
      <c r="E509" s="599">
        <f>+'especiales '!D50</f>
        <v>308737.3</v>
      </c>
      <c r="F509" s="586"/>
      <c r="G509" s="586">
        <f t="shared" si="142"/>
        <v>38592.162499999999</v>
      </c>
      <c r="H509" s="586"/>
      <c r="I509" s="587"/>
    </row>
    <row r="510" spans="1:9" ht="15.6" x14ac:dyDescent="0.3">
      <c r="A510" s="640" t="s">
        <v>32</v>
      </c>
      <c r="B510" s="641" t="s">
        <v>170</v>
      </c>
      <c r="C510" s="642" t="s">
        <v>4</v>
      </c>
      <c r="D510" s="643">
        <v>0.25</v>
      </c>
      <c r="E510" s="585">
        <v>2828.6</v>
      </c>
      <c r="F510" s="586" t="str">
        <f>IF(A510="MO",D510*E510,"")</f>
        <v/>
      </c>
      <c r="G510" s="586">
        <f>IF(A510="MA",D510*E510,"")</f>
        <v>707.15</v>
      </c>
      <c r="H510" s="586" t="str">
        <f>IF(A510="HE",D510*E510,"")</f>
        <v/>
      </c>
      <c r="I510" s="587" t="str">
        <f>IF(A510="OT",D510*E510,"")</f>
        <v/>
      </c>
    </row>
    <row r="511" spans="1:9" ht="15.75" customHeight="1" x14ac:dyDescent="0.3">
      <c r="A511" s="633" t="s">
        <v>26</v>
      </c>
      <c r="B511" s="637" t="s">
        <v>171</v>
      </c>
      <c r="C511" s="638" t="s">
        <v>152</v>
      </c>
      <c r="D511" s="639">
        <v>1</v>
      </c>
      <c r="E511" s="585">
        <f>+'especiales '!D51</f>
        <v>5855.4</v>
      </c>
      <c r="F511" s="586" t="str">
        <f>IF(A511="MO",D511*E511,"")</f>
        <v/>
      </c>
      <c r="G511" s="586" t="str">
        <f>IF(A511="MA",D511*E511,"")</f>
        <v/>
      </c>
      <c r="H511" s="586" t="str">
        <f>IF(A511="HE",D511*E511,"")</f>
        <v/>
      </c>
      <c r="I511" s="587">
        <f>IF(A511="OT",D511*E511,"")</f>
        <v>5855.4</v>
      </c>
    </row>
    <row r="512" spans="1:9" ht="15.6" x14ac:dyDescent="0.3">
      <c r="A512" s="581" t="s">
        <v>24</v>
      </c>
      <c r="B512" s="634" t="s">
        <v>233</v>
      </c>
      <c r="C512" s="644" t="s">
        <v>25</v>
      </c>
      <c r="D512" s="636">
        <v>0.25</v>
      </c>
      <c r="E512" s="585">
        <f>+'M.O 2020'!B10</f>
        <v>175344</v>
      </c>
      <c r="F512" s="586">
        <f>IF(A512="MO",D512*E512,"")</f>
        <v>43836</v>
      </c>
      <c r="G512" s="586" t="str">
        <f>IF(A512="MA",D512*E512,"")</f>
        <v/>
      </c>
      <c r="H512" s="586" t="str">
        <f>IF(A512="HE",D512*E512,"")</f>
        <v/>
      </c>
      <c r="I512" s="587" t="str">
        <f>IF(A512="OT",D512*E512,"")</f>
        <v/>
      </c>
    </row>
    <row r="513" spans="1:9" ht="15.6" x14ac:dyDescent="0.3">
      <c r="A513" s="633"/>
      <c r="B513" s="637"/>
      <c r="C513" s="635"/>
      <c r="D513" s="636"/>
      <c r="E513" s="585"/>
      <c r="F513" s="586" t="str">
        <f>IF(A513="MO",D513*E513,"")</f>
        <v/>
      </c>
      <c r="G513" s="586" t="str">
        <f>IF(A513="MA",D513*E513,"")</f>
        <v/>
      </c>
      <c r="H513" s="586" t="str">
        <f>IF(A513="HE",D513*E513,"")</f>
        <v/>
      </c>
      <c r="I513" s="587" t="str">
        <f>IF(A513="OT",D513*E513,"")</f>
        <v/>
      </c>
    </row>
    <row r="514" spans="1:9" ht="16.2" thickBot="1" x14ac:dyDescent="0.35">
      <c r="A514" s="342"/>
      <c r="B514" s="343" t="s">
        <v>31</v>
      </c>
      <c r="C514" s="344">
        <f>ROUND(SUM(F514:I514),0)</f>
        <v>106233</v>
      </c>
      <c r="D514" s="522" t="str">
        <f>+C503</f>
        <v>m</v>
      </c>
      <c r="E514" s="345"/>
      <c r="F514" s="346">
        <f>SUM(F507:F513)</f>
        <v>43836</v>
      </c>
      <c r="G514" s="346">
        <f>SUM(G507:G513)</f>
        <v>56541.612499999996</v>
      </c>
      <c r="H514" s="346">
        <f>SUM(H507:H513)</f>
        <v>0</v>
      </c>
      <c r="I514" s="352">
        <f>SUM(I507:I513)</f>
        <v>5855.4</v>
      </c>
    </row>
    <row r="515" spans="1:9" ht="15.6" thickTop="1" thickBot="1" x14ac:dyDescent="0.35"/>
    <row r="516" spans="1:9" ht="16.2" thickTop="1" x14ac:dyDescent="0.3">
      <c r="A516" s="1063" t="s">
        <v>35</v>
      </c>
      <c r="B516" s="1064"/>
      <c r="C516" s="1065" t="s">
        <v>725</v>
      </c>
      <c r="D516" s="1066"/>
      <c r="E516" s="1066"/>
      <c r="F516" s="1066"/>
      <c r="G516" s="1066"/>
      <c r="H516" s="1066"/>
      <c r="I516" s="1067"/>
    </row>
    <row r="517" spans="1:9" ht="55.5" customHeight="1" x14ac:dyDescent="0.3">
      <c r="A517" s="1068" t="s">
        <v>12</v>
      </c>
      <c r="B517" s="1069"/>
      <c r="C517" s="1031" t="s">
        <v>729</v>
      </c>
      <c r="D517" s="1032"/>
      <c r="E517" s="1032"/>
      <c r="F517" s="1032"/>
      <c r="G517" s="1032"/>
      <c r="H517" s="1032"/>
      <c r="I517" s="1033"/>
    </row>
    <row r="518" spans="1:9" ht="15.6" x14ac:dyDescent="0.3">
      <c r="A518" s="1068" t="s">
        <v>13</v>
      </c>
      <c r="B518" s="1069"/>
      <c r="C518" s="1070" t="s">
        <v>113</v>
      </c>
      <c r="D518" s="1071"/>
      <c r="E518" s="1071"/>
      <c r="F518" s="1071"/>
      <c r="G518" s="1071"/>
      <c r="H518" s="1071"/>
      <c r="I518" s="1072"/>
    </row>
    <row r="519" spans="1:9" ht="15.6" x14ac:dyDescent="0.3">
      <c r="A519" s="1073" t="s">
        <v>14</v>
      </c>
      <c r="B519" s="1075" t="s">
        <v>15</v>
      </c>
      <c r="C519" s="1075" t="s">
        <v>16</v>
      </c>
      <c r="D519" s="1077" t="s">
        <v>17</v>
      </c>
      <c r="E519" s="1079" t="s">
        <v>18</v>
      </c>
      <c r="F519" s="1081" t="s">
        <v>19</v>
      </c>
      <c r="G519" s="1082"/>
      <c r="H519" s="1082"/>
      <c r="I519" s="1083"/>
    </row>
    <row r="520" spans="1:9" ht="31.8" thickBot="1" x14ac:dyDescent="0.35">
      <c r="A520" s="1074"/>
      <c r="B520" s="1076"/>
      <c r="C520" s="1076"/>
      <c r="D520" s="1078"/>
      <c r="E520" s="1080"/>
      <c r="F520" s="485" t="s">
        <v>20</v>
      </c>
      <c r="G520" s="485" t="s">
        <v>21</v>
      </c>
      <c r="H520" s="485" t="s">
        <v>22</v>
      </c>
      <c r="I520" s="348" t="s">
        <v>23</v>
      </c>
    </row>
    <row r="521" spans="1:9" ht="16.8" thickTop="1" thickBot="1" x14ac:dyDescent="0.35">
      <c r="A521" s="353"/>
      <c r="B521" s="353"/>
      <c r="C521" s="353"/>
      <c r="D521" s="553"/>
      <c r="E521" s="354"/>
      <c r="F521" s="353"/>
      <c r="G521" s="353"/>
      <c r="H521" s="353"/>
      <c r="I521" s="353"/>
    </row>
    <row r="522" spans="1:9" ht="15.75" customHeight="1" thickTop="1" x14ac:dyDescent="0.3">
      <c r="A522" s="355"/>
      <c r="B522" s="356"/>
      <c r="C522" s="357"/>
      <c r="D522" s="534"/>
      <c r="E522" s="358"/>
      <c r="F522" s="359"/>
      <c r="G522" s="359"/>
      <c r="H522" s="359"/>
      <c r="I522" s="360"/>
    </row>
    <row r="523" spans="1:9" ht="15.75" customHeight="1" x14ac:dyDescent="0.3">
      <c r="A523" s="596" t="s">
        <v>32</v>
      </c>
      <c r="B523" s="611" t="s">
        <v>730</v>
      </c>
      <c r="C523" s="583" t="s">
        <v>5</v>
      </c>
      <c r="D523" s="584">
        <v>0.3</v>
      </c>
      <c r="E523" s="599">
        <f>39800/6</f>
        <v>6633.333333333333</v>
      </c>
      <c r="F523" s="612" t="str">
        <f t="shared" ref="F523:F528" si="143">IF(A523="MO",D523*E523,"")</f>
        <v/>
      </c>
      <c r="G523" s="600">
        <f t="shared" ref="G523:G528" si="144">IF(A523="MA",D523*E523,"")</f>
        <v>1989.9999999999998</v>
      </c>
      <c r="H523" s="600" t="str">
        <f t="shared" ref="H523:H528" si="145">IF(A523="HE",D523*E523,"")</f>
        <v/>
      </c>
      <c r="I523" s="601" t="str">
        <f t="shared" ref="I523:I528" si="146">IF(A523="OT",D523*E523,"")</f>
        <v/>
      </c>
    </row>
    <row r="524" spans="1:9" ht="15.75" customHeight="1" x14ac:dyDescent="0.3">
      <c r="A524" s="596" t="s">
        <v>32</v>
      </c>
      <c r="B524" s="611" t="s">
        <v>911</v>
      </c>
      <c r="C524" s="583" t="s">
        <v>205</v>
      </c>
      <c r="D524" s="584">
        <v>6.6666666666666666E-2</v>
      </c>
      <c r="E524" s="599">
        <v>77088</v>
      </c>
      <c r="F524" s="612" t="str">
        <f t="shared" si="143"/>
        <v/>
      </c>
      <c r="G524" s="600">
        <f>IF(A524="MA",D524*E524,"")</f>
        <v>5139.2</v>
      </c>
      <c r="H524" s="600" t="str">
        <f t="shared" si="145"/>
        <v/>
      </c>
      <c r="I524" s="601" t="str">
        <f t="shared" si="146"/>
        <v/>
      </c>
    </row>
    <row r="525" spans="1:9" ht="15.6" x14ac:dyDescent="0.3">
      <c r="A525" s="596" t="s">
        <v>32</v>
      </c>
      <c r="B525" s="611" t="s">
        <v>731</v>
      </c>
      <c r="C525" s="583" t="s">
        <v>5</v>
      </c>
      <c r="D525" s="584">
        <v>0.4</v>
      </c>
      <c r="E525" s="599">
        <f>+'especiales '!D55</f>
        <v>127753.3</v>
      </c>
      <c r="F525" s="612" t="str">
        <f t="shared" si="143"/>
        <v/>
      </c>
      <c r="G525" s="600">
        <f t="shared" si="144"/>
        <v>51101.320000000007</v>
      </c>
      <c r="H525" s="600" t="str">
        <f t="shared" si="145"/>
        <v/>
      </c>
      <c r="I525" s="601" t="str">
        <f t="shared" si="146"/>
        <v/>
      </c>
    </row>
    <row r="526" spans="1:9" ht="15.6" x14ac:dyDescent="0.3">
      <c r="A526" s="596" t="s">
        <v>24</v>
      </c>
      <c r="B526" s="613" t="s">
        <v>164</v>
      </c>
      <c r="C526" s="614" t="s">
        <v>102</v>
      </c>
      <c r="D526" s="615">
        <v>1</v>
      </c>
      <c r="E526" s="645">
        <f>+'especiales '!D56</f>
        <v>6920</v>
      </c>
      <c r="F526" s="612">
        <f t="shared" si="143"/>
        <v>6920</v>
      </c>
      <c r="G526" s="600" t="str">
        <f t="shared" si="144"/>
        <v/>
      </c>
      <c r="H526" s="600" t="str">
        <f t="shared" si="145"/>
        <v/>
      </c>
      <c r="I526" s="601" t="str">
        <f t="shared" si="146"/>
        <v/>
      </c>
    </row>
    <row r="527" spans="1:9" ht="15.6" x14ac:dyDescent="0.3">
      <c r="A527" s="646" t="s">
        <v>29</v>
      </c>
      <c r="B527" s="647" t="s">
        <v>30</v>
      </c>
      <c r="C527" s="648" t="s">
        <v>28</v>
      </c>
      <c r="D527" s="636">
        <v>0.1</v>
      </c>
      <c r="E527" s="649">
        <f>F526</f>
        <v>6920</v>
      </c>
      <c r="F527" s="612" t="str">
        <f t="shared" si="143"/>
        <v/>
      </c>
      <c r="G527" s="600" t="str">
        <f t="shared" si="144"/>
        <v/>
      </c>
      <c r="H527" s="600">
        <f t="shared" si="145"/>
        <v>692</v>
      </c>
      <c r="I527" s="601" t="str">
        <f t="shared" si="146"/>
        <v/>
      </c>
    </row>
    <row r="528" spans="1:9" ht="15.6" x14ac:dyDescent="0.3">
      <c r="A528" s="596"/>
      <c r="B528" s="650"/>
      <c r="C528" s="583"/>
      <c r="D528" s="598"/>
      <c r="E528" s="599"/>
      <c r="F528" s="600" t="str">
        <f t="shared" si="143"/>
        <v/>
      </c>
      <c r="G528" s="600" t="str">
        <f t="shared" si="144"/>
        <v/>
      </c>
      <c r="H528" s="600" t="str">
        <f t="shared" si="145"/>
        <v/>
      </c>
      <c r="I528" s="601" t="str">
        <f t="shared" si="146"/>
        <v/>
      </c>
    </row>
    <row r="529" spans="1:28" ht="16.2" thickBot="1" x14ac:dyDescent="0.35">
      <c r="A529" s="651"/>
      <c r="B529" s="652" t="s">
        <v>31</v>
      </c>
      <c r="C529" s="653">
        <f>ROUND(SUM(F529:I529),0)</f>
        <v>65843</v>
      </c>
      <c r="D529" s="654" t="str">
        <f>+C518</f>
        <v>Un</v>
      </c>
      <c r="E529" s="655"/>
      <c r="F529" s="656">
        <f>SUM(F522:F528)</f>
        <v>6920</v>
      </c>
      <c r="G529" s="656">
        <f>SUM(G522:G528)</f>
        <v>58230.520000000004</v>
      </c>
      <c r="H529" s="656">
        <f>SUM(H522:H528)</f>
        <v>692</v>
      </c>
      <c r="I529" s="657">
        <f>SUM(I522:I528)</f>
        <v>0</v>
      </c>
    </row>
    <row r="530" spans="1:28" ht="15.6" thickTop="1" thickBot="1" x14ac:dyDescent="0.35">
      <c r="A530" s="630"/>
      <c r="B530" s="630"/>
      <c r="C530" s="630"/>
      <c r="D530" s="631"/>
      <c r="E530" s="632"/>
      <c r="F530" s="630"/>
      <c r="G530" s="630"/>
      <c r="H530" s="630"/>
      <c r="I530" s="630"/>
    </row>
    <row r="531" spans="1:28" ht="16.2" thickTop="1" x14ac:dyDescent="0.3">
      <c r="A531" s="1063" t="s">
        <v>35</v>
      </c>
      <c r="B531" s="1064"/>
      <c r="C531" s="1065" t="s">
        <v>732</v>
      </c>
      <c r="D531" s="1066"/>
      <c r="E531" s="1066"/>
      <c r="F531" s="1066"/>
      <c r="G531" s="1066"/>
      <c r="H531" s="1066"/>
      <c r="I531" s="1067"/>
    </row>
    <row r="532" spans="1:28" ht="57" customHeight="1" x14ac:dyDescent="0.3">
      <c r="A532" s="1068" t="s">
        <v>12</v>
      </c>
      <c r="B532" s="1069"/>
      <c r="C532" s="1031" t="s">
        <v>733</v>
      </c>
      <c r="D532" s="1032"/>
      <c r="E532" s="1032"/>
      <c r="F532" s="1032"/>
      <c r="G532" s="1032"/>
      <c r="H532" s="1032"/>
      <c r="I532" s="1033"/>
    </row>
    <row r="533" spans="1:28" ht="15.6" x14ac:dyDescent="0.3">
      <c r="A533" s="1068" t="s">
        <v>13</v>
      </c>
      <c r="B533" s="1069"/>
      <c r="C533" s="1070" t="s">
        <v>113</v>
      </c>
      <c r="D533" s="1071"/>
      <c r="E533" s="1071"/>
      <c r="F533" s="1071"/>
      <c r="G533" s="1071"/>
      <c r="H533" s="1071"/>
      <c r="I533" s="1072"/>
    </row>
    <row r="534" spans="1:28" ht="15.6" x14ac:dyDescent="0.3">
      <c r="A534" s="1073" t="s">
        <v>14</v>
      </c>
      <c r="B534" s="1075" t="s">
        <v>15</v>
      </c>
      <c r="C534" s="1075" t="s">
        <v>16</v>
      </c>
      <c r="D534" s="1077" t="s">
        <v>17</v>
      </c>
      <c r="E534" s="1079" t="s">
        <v>18</v>
      </c>
      <c r="F534" s="1081" t="s">
        <v>19</v>
      </c>
      <c r="G534" s="1082"/>
      <c r="H534" s="1082"/>
      <c r="I534" s="1083"/>
    </row>
    <row r="535" spans="1:28" ht="31.8" thickBot="1" x14ac:dyDescent="0.35">
      <c r="A535" s="1074"/>
      <c r="B535" s="1076"/>
      <c r="C535" s="1076"/>
      <c r="D535" s="1078"/>
      <c r="E535" s="1080"/>
      <c r="F535" s="485" t="s">
        <v>20</v>
      </c>
      <c r="G535" s="485" t="s">
        <v>21</v>
      </c>
      <c r="H535" s="485" t="s">
        <v>22</v>
      </c>
      <c r="I535" s="348" t="s">
        <v>23</v>
      </c>
    </row>
    <row r="536" spans="1:28" ht="16.8" thickTop="1" thickBot="1" x14ac:dyDescent="0.35">
      <c r="A536" s="263"/>
      <c r="B536" s="263"/>
      <c r="C536" s="263"/>
      <c r="D536" s="552"/>
      <c r="E536" s="264"/>
      <c r="F536" s="263"/>
      <c r="G536" s="263"/>
      <c r="H536" s="263"/>
      <c r="I536" s="263"/>
    </row>
    <row r="537" spans="1:28" ht="16.2" thickTop="1" x14ac:dyDescent="0.3">
      <c r="A537" s="235"/>
      <c r="B537" s="239"/>
      <c r="C537" s="240"/>
      <c r="D537" s="554"/>
      <c r="E537" s="269"/>
      <c r="F537" s="241"/>
      <c r="G537" s="241"/>
      <c r="H537" s="241"/>
      <c r="I537" s="242"/>
    </row>
    <row r="538" spans="1:28" ht="15.6" x14ac:dyDescent="0.3">
      <c r="A538" s="588" t="s">
        <v>32</v>
      </c>
      <c r="B538" s="609" t="s">
        <v>730</v>
      </c>
      <c r="C538" s="590" t="s">
        <v>5</v>
      </c>
      <c r="D538" s="591">
        <v>0.15</v>
      </c>
      <c r="E538" s="592">
        <f>39800/6</f>
        <v>6633.333333333333</v>
      </c>
      <c r="F538" s="610" t="str">
        <f t="shared" ref="F538:F543" si="147">IF(A538="MO",D538*E538,"")</f>
        <v/>
      </c>
      <c r="G538" s="593">
        <f t="shared" ref="G538:G543" si="148">IF(A538="MA",D538*E538,"")</f>
        <v>994.99999999999989</v>
      </c>
      <c r="H538" s="593" t="str">
        <f t="shared" ref="H538:H543" si="149">IF(A538="HE",D538*E538,"")</f>
        <v/>
      </c>
      <c r="I538" s="594" t="str">
        <f t="shared" ref="I538:I543" si="150">IF(A538="OT",D538*E538,"")</f>
        <v/>
      </c>
    </row>
    <row r="539" spans="1:28" ht="15.6" x14ac:dyDescent="0.3">
      <c r="A539" s="596" t="s">
        <v>32</v>
      </c>
      <c r="B539" s="611" t="s">
        <v>911</v>
      </c>
      <c r="C539" s="583" t="s">
        <v>205</v>
      </c>
      <c r="D539" s="584">
        <f>0.0666666666666667/2</f>
        <v>3.3333333333333347E-2</v>
      </c>
      <c r="E539" s="599">
        <v>77088</v>
      </c>
      <c r="F539" s="612" t="str">
        <f t="shared" si="147"/>
        <v/>
      </c>
      <c r="G539" s="600">
        <f>IF(A539="MA",D539*E539,"")</f>
        <v>2569.6000000000008</v>
      </c>
      <c r="H539" s="600" t="str">
        <f t="shared" si="149"/>
        <v/>
      </c>
      <c r="I539" s="601" t="str">
        <f t="shared" si="150"/>
        <v/>
      </c>
    </row>
    <row r="540" spans="1:28" ht="15.6" x14ac:dyDescent="0.3">
      <c r="A540" s="596" t="s">
        <v>32</v>
      </c>
      <c r="B540" s="611" t="s">
        <v>734</v>
      </c>
      <c r="C540" s="583" t="s">
        <v>5</v>
      </c>
      <c r="D540" s="584">
        <v>0.4</v>
      </c>
      <c r="E540" s="599">
        <f>+'especiales '!D60</f>
        <v>127753.3</v>
      </c>
      <c r="F540" s="612" t="str">
        <f t="shared" si="147"/>
        <v/>
      </c>
      <c r="G540" s="600">
        <f t="shared" si="148"/>
        <v>51101.320000000007</v>
      </c>
      <c r="H540" s="600" t="str">
        <f t="shared" si="149"/>
        <v/>
      </c>
      <c r="I540" s="601" t="str">
        <f t="shared" si="150"/>
        <v/>
      </c>
    </row>
    <row r="541" spans="1:28" ht="15.6" x14ac:dyDescent="0.3">
      <c r="A541" s="596" t="s">
        <v>24</v>
      </c>
      <c r="B541" s="613" t="s">
        <v>164</v>
      </c>
      <c r="C541" s="614" t="s">
        <v>102</v>
      </c>
      <c r="D541" s="615">
        <v>1</v>
      </c>
      <c r="E541" s="645">
        <f>+'especiales '!D61</f>
        <v>6920</v>
      </c>
      <c r="F541" s="612">
        <f t="shared" si="147"/>
        <v>6920</v>
      </c>
      <c r="G541" s="600" t="str">
        <f t="shared" si="148"/>
        <v/>
      </c>
      <c r="H541" s="600" t="str">
        <f t="shared" si="149"/>
        <v/>
      </c>
      <c r="I541" s="601" t="str">
        <f t="shared" si="150"/>
        <v/>
      </c>
      <c r="T541" s="250"/>
      <c r="U541" s="250"/>
      <c r="V541" s="251"/>
      <c r="W541" s="252"/>
      <c r="X541" s="253"/>
      <c r="Y541" s="254"/>
      <c r="Z541" s="254"/>
      <c r="AA541" s="254"/>
      <c r="AB541" s="254"/>
    </row>
    <row r="542" spans="1:28" ht="15.6" x14ac:dyDescent="0.3">
      <c r="A542" s="646" t="s">
        <v>29</v>
      </c>
      <c r="B542" s="647" t="s">
        <v>30</v>
      </c>
      <c r="C542" s="648" t="s">
        <v>28</v>
      </c>
      <c r="D542" s="636">
        <v>0.1</v>
      </c>
      <c r="E542" s="649">
        <f>F541</f>
        <v>6920</v>
      </c>
      <c r="F542" s="612" t="str">
        <f t="shared" si="147"/>
        <v/>
      </c>
      <c r="G542" s="600" t="str">
        <f t="shared" si="148"/>
        <v/>
      </c>
      <c r="H542" s="600">
        <f t="shared" si="149"/>
        <v>692</v>
      </c>
      <c r="I542" s="601" t="str">
        <f t="shared" si="150"/>
        <v/>
      </c>
    </row>
    <row r="543" spans="1:28" ht="15.6" x14ac:dyDescent="0.3">
      <c r="A543" s="588"/>
      <c r="B543" s="622"/>
      <c r="C543" s="590"/>
      <c r="D543" s="595"/>
      <c r="E543" s="592"/>
      <c r="F543" s="593" t="str">
        <f t="shared" si="147"/>
        <v/>
      </c>
      <c r="G543" s="593" t="str">
        <f t="shared" si="148"/>
        <v/>
      </c>
      <c r="H543" s="593" t="str">
        <f t="shared" si="149"/>
        <v/>
      </c>
      <c r="I543" s="594" t="str">
        <f t="shared" si="150"/>
        <v/>
      </c>
    </row>
    <row r="544" spans="1:28" ht="16.2" thickBot="1" x14ac:dyDescent="0.35">
      <c r="A544" s="71"/>
      <c r="B544" s="72" t="s">
        <v>31</v>
      </c>
      <c r="C544" s="307">
        <f>ROUND(SUM(F544:I544),0)</f>
        <v>62278</v>
      </c>
      <c r="D544" s="533" t="str">
        <f>+C533</f>
        <v>Un</v>
      </c>
      <c r="E544" s="86"/>
      <c r="F544" s="74">
        <f>SUM(F537:F543)</f>
        <v>6920</v>
      </c>
      <c r="G544" s="74">
        <f>SUM(G537:G543)</f>
        <v>54665.920000000006</v>
      </c>
      <c r="H544" s="74">
        <f>SUM(H537:H543)</f>
        <v>692</v>
      </c>
      <c r="I544" s="75">
        <f>SUM(I537:I543)</f>
        <v>0</v>
      </c>
    </row>
    <row r="545" spans="1:9" ht="15.6" thickTop="1" thickBot="1" x14ac:dyDescent="0.35"/>
    <row r="546" spans="1:9" ht="16.2" thickTop="1" x14ac:dyDescent="0.3">
      <c r="A546" s="1101" t="s">
        <v>35</v>
      </c>
      <c r="B546" s="1102"/>
      <c r="C546" s="991" t="s">
        <v>724</v>
      </c>
      <c r="D546" s="992"/>
      <c r="E546" s="992"/>
      <c r="F546" s="992"/>
      <c r="G546" s="992"/>
      <c r="H546" s="992"/>
      <c r="I546" s="993"/>
    </row>
    <row r="547" spans="1:9" ht="32.25" customHeight="1" x14ac:dyDescent="0.3">
      <c r="A547" s="1103" t="s">
        <v>12</v>
      </c>
      <c r="B547" s="1104"/>
      <c r="C547" s="969" t="s">
        <v>728</v>
      </c>
      <c r="D547" s="970"/>
      <c r="E547" s="970"/>
      <c r="F547" s="970"/>
      <c r="G547" s="970"/>
      <c r="H547" s="970"/>
      <c r="I547" s="971"/>
    </row>
    <row r="548" spans="1:9" ht="15.6" x14ac:dyDescent="0.3">
      <c r="A548" s="1103" t="s">
        <v>13</v>
      </c>
      <c r="B548" s="1104"/>
      <c r="C548" s="996" t="s">
        <v>113</v>
      </c>
      <c r="D548" s="997"/>
      <c r="E548" s="997"/>
      <c r="F548" s="997"/>
      <c r="G548" s="997"/>
      <c r="H548" s="997"/>
      <c r="I548" s="998"/>
    </row>
    <row r="549" spans="1:9" ht="15.75" customHeight="1" x14ac:dyDescent="0.3">
      <c r="A549" s="1000" t="s">
        <v>14</v>
      </c>
      <c r="B549" s="1002" t="s">
        <v>15</v>
      </c>
      <c r="C549" s="1002" t="s">
        <v>16</v>
      </c>
      <c r="D549" s="1004" t="s">
        <v>17</v>
      </c>
      <c r="E549" s="1006" t="s">
        <v>18</v>
      </c>
      <c r="F549" s="1008" t="s">
        <v>19</v>
      </c>
      <c r="G549" s="1009"/>
      <c r="H549" s="1009"/>
      <c r="I549" s="1010"/>
    </row>
    <row r="550" spans="1:9" ht="15.75" customHeight="1" thickBot="1" x14ac:dyDescent="0.35">
      <c r="A550" s="1105"/>
      <c r="B550" s="1003"/>
      <c r="C550" s="1003"/>
      <c r="D550" s="1005"/>
      <c r="E550" s="1007"/>
      <c r="F550" s="483" t="s">
        <v>20</v>
      </c>
      <c r="G550" s="483" t="s">
        <v>21</v>
      </c>
      <c r="H550" s="483" t="s">
        <v>22</v>
      </c>
      <c r="I550" s="76" t="s">
        <v>23</v>
      </c>
    </row>
    <row r="551" spans="1:9" ht="15.75" customHeight="1" thickTop="1" thickBot="1" x14ac:dyDescent="0.35">
      <c r="A551" s="308"/>
      <c r="B551" s="308"/>
      <c r="C551" s="308"/>
      <c r="D551" s="555"/>
      <c r="E551" s="309"/>
      <c r="F551" s="308"/>
      <c r="G551" s="308"/>
      <c r="H551" s="308"/>
      <c r="I551" s="308"/>
    </row>
    <row r="552" spans="1:9" ht="15.75" customHeight="1" thickTop="1" x14ac:dyDescent="0.3">
      <c r="A552" s="80"/>
      <c r="B552" s="81"/>
      <c r="C552" s="82"/>
      <c r="D552" s="529"/>
      <c r="E552" s="310"/>
      <c r="F552" s="83"/>
      <c r="G552" s="83"/>
      <c r="H552" s="83"/>
      <c r="I552" s="84"/>
    </row>
    <row r="553" spans="1:9" ht="15.75" customHeight="1" x14ac:dyDescent="0.3">
      <c r="A553" s="588" t="s">
        <v>32</v>
      </c>
      <c r="B553" s="609" t="s">
        <v>726</v>
      </c>
      <c r="C553" s="590" t="s">
        <v>5</v>
      </c>
      <c r="D553" s="591">
        <v>0.93700000000000006</v>
      </c>
      <c r="E553" s="592">
        <v>2831.6666666666665</v>
      </c>
      <c r="F553" s="610" t="str">
        <f t="shared" ref="F553:F558" si="151">IF(A553="MO",D553*E553,"")</f>
        <v/>
      </c>
      <c r="G553" s="593">
        <f t="shared" ref="G553:G558" si="152">IF(A553="MA",D553*E553,"")</f>
        <v>2653.2716666666665</v>
      </c>
      <c r="H553" s="593" t="str">
        <f t="shared" ref="H553:H558" si="153">IF(A553="HE",D553*E553,"")</f>
        <v/>
      </c>
      <c r="I553" s="594" t="str">
        <f t="shared" ref="I553:I558" si="154">IF(A553="OT",D553*E553,"")</f>
        <v/>
      </c>
    </row>
    <row r="554" spans="1:9" ht="15.6" customHeight="1" x14ac:dyDescent="0.3">
      <c r="A554" s="596" t="s">
        <v>32</v>
      </c>
      <c r="B554" s="611" t="s">
        <v>911</v>
      </c>
      <c r="C554" s="583" t="s">
        <v>205</v>
      </c>
      <c r="D554" s="584">
        <v>0.04</v>
      </c>
      <c r="E554" s="599">
        <v>77088</v>
      </c>
      <c r="F554" s="612" t="str">
        <f t="shared" si="151"/>
        <v/>
      </c>
      <c r="G554" s="600">
        <f>IF(A554="MA",D554*E554,"")</f>
        <v>3083.52</v>
      </c>
      <c r="H554" s="600" t="str">
        <f t="shared" si="153"/>
        <v/>
      </c>
      <c r="I554" s="601" t="str">
        <f t="shared" si="154"/>
        <v/>
      </c>
    </row>
    <row r="555" spans="1:9" ht="39.75" customHeight="1" x14ac:dyDescent="0.3">
      <c r="A555" s="596" t="s">
        <v>32</v>
      </c>
      <c r="B555" s="611" t="s">
        <v>727</v>
      </c>
      <c r="C555" s="583" t="s">
        <v>5</v>
      </c>
      <c r="D555" s="584">
        <v>0.2</v>
      </c>
      <c r="E555" s="599">
        <f>+'especiales '!D65</f>
        <v>127753.3</v>
      </c>
      <c r="F555" s="612" t="str">
        <f t="shared" si="151"/>
        <v/>
      </c>
      <c r="G555" s="600">
        <f t="shared" si="152"/>
        <v>25550.660000000003</v>
      </c>
      <c r="H555" s="600" t="str">
        <f t="shared" si="153"/>
        <v/>
      </c>
      <c r="I555" s="601" t="str">
        <f t="shared" si="154"/>
        <v/>
      </c>
    </row>
    <row r="556" spans="1:9" ht="15.6" x14ac:dyDescent="0.3">
      <c r="A556" s="596" t="s">
        <v>24</v>
      </c>
      <c r="B556" s="613" t="s">
        <v>164</v>
      </c>
      <c r="C556" s="614" t="s">
        <v>102</v>
      </c>
      <c r="D556" s="615">
        <v>1</v>
      </c>
      <c r="E556" s="645">
        <f>+'especiales '!D66</f>
        <v>6920</v>
      </c>
      <c r="F556" s="612">
        <f t="shared" si="151"/>
        <v>6920</v>
      </c>
      <c r="G556" s="600" t="str">
        <f t="shared" si="152"/>
        <v/>
      </c>
      <c r="H556" s="600" t="str">
        <f t="shared" si="153"/>
        <v/>
      </c>
      <c r="I556" s="601" t="str">
        <f t="shared" si="154"/>
        <v/>
      </c>
    </row>
    <row r="557" spans="1:9" ht="15.6" x14ac:dyDescent="0.3">
      <c r="A557" s="646" t="s">
        <v>29</v>
      </c>
      <c r="B557" s="647" t="s">
        <v>30</v>
      </c>
      <c r="C557" s="648" t="s">
        <v>28</v>
      </c>
      <c r="D557" s="636">
        <v>0.1</v>
      </c>
      <c r="E557" s="649">
        <f>F556</f>
        <v>6920</v>
      </c>
      <c r="F557" s="612" t="str">
        <f t="shared" si="151"/>
        <v/>
      </c>
      <c r="G557" s="600" t="str">
        <f t="shared" si="152"/>
        <v/>
      </c>
      <c r="H557" s="600">
        <f t="shared" si="153"/>
        <v>692</v>
      </c>
      <c r="I557" s="601" t="str">
        <f t="shared" si="154"/>
        <v/>
      </c>
    </row>
    <row r="558" spans="1:9" ht="15.6" x14ac:dyDescent="0.3">
      <c r="A558" s="588"/>
      <c r="B558" s="622"/>
      <c r="C558" s="590"/>
      <c r="D558" s="595"/>
      <c r="E558" s="592"/>
      <c r="F558" s="593" t="str">
        <f t="shared" si="151"/>
        <v/>
      </c>
      <c r="G558" s="593" t="str">
        <f t="shared" si="152"/>
        <v/>
      </c>
      <c r="H558" s="593" t="str">
        <f t="shared" si="153"/>
        <v/>
      </c>
      <c r="I558" s="594" t="str">
        <f t="shared" si="154"/>
        <v/>
      </c>
    </row>
    <row r="559" spans="1:9" ht="16.2" thickBot="1" x14ac:dyDescent="0.35">
      <c r="A559" s="71"/>
      <c r="B559" s="72" t="s">
        <v>31</v>
      </c>
      <c r="C559" s="307">
        <f>ROUND(SUM(F559:I559),0)</f>
        <v>38899</v>
      </c>
      <c r="D559" s="533" t="str">
        <f>+C548</f>
        <v>Un</v>
      </c>
      <c r="E559" s="86"/>
      <c r="F559" s="74">
        <f>SUM(F552:F558)</f>
        <v>6920</v>
      </c>
      <c r="G559" s="74">
        <f>SUM(G552:G558)</f>
        <v>31287.451666666668</v>
      </c>
      <c r="H559" s="74">
        <f>SUM(H552:H558)</f>
        <v>692</v>
      </c>
      <c r="I559" s="75">
        <f>SUM(I552:I558)</f>
        <v>0</v>
      </c>
    </row>
    <row r="560" spans="1:9" ht="15.75" customHeight="1" thickTop="1" thickBot="1" x14ac:dyDescent="0.35"/>
    <row r="561" spans="1:9" ht="16.2" thickTop="1" x14ac:dyDescent="0.3">
      <c r="A561" s="854" t="s">
        <v>35</v>
      </c>
      <c r="B561" s="855"/>
      <c r="C561" s="943" t="s">
        <v>172</v>
      </c>
      <c r="D561" s="944"/>
      <c r="E561" s="944"/>
      <c r="F561" s="944"/>
      <c r="G561" s="944"/>
      <c r="H561" s="944"/>
      <c r="I561" s="945"/>
    </row>
    <row r="562" spans="1:9" ht="31.5" customHeight="1" x14ac:dyDescent="0.3">
      <c r="A562" s="858" t="s">
        <v>12</v>
      </c>
      <c r="B562" s="859"/>
      <c r="C562" s="948" t="s">
        <v>738</v>
      </c>
      <c r="D562" s="949"/>
      <c r="E562" s="949"/>
      <c r="F562" s="949"/>
      <c r="G562" s="949"/>
      <c r="H562" s="949"/>
      <c r="I562" s="950"/>
    </row>
    <row r="563" spans="1:9" ht="15.6" x14ac:dyDescent="0.3">
      <c r="A563" s="858" t="s">
        <v>13</v>
      </c>
      <c r="B563" s="859"/>
      <c r="C563" s="948" t="s">
        <v>4</v>
      </c>
      <c r="D563" s="949"/>
      <c r="E563" s="949"/>
      <c r="F563" s="949"/>
      <c r="G563" s="949"/>
      <c r="H563" s="949"/>
      <c r="I563" s="950"/>
    </row>
    <row r="564" spans="1:9" ht="15.6" x14ac:dyDescent="0.3">
      <c r="A564" s="862" t="s">
        <v>14</v>
      </c>
      <c r="B564" s="848" t="s">
        <v>15</v>
      </c>
      <c r="C564" s="864" t="s">
        <v>16</v>
      </c>
      <c r="D564" s="866" t="s">
        <v>17</v>
      </c>
      <c r="E564" s="868" t="s">
        <v>18</v>
      </c>
      <c r="F564" s="955" t="s">
        <v>19</v>
      </c>
      <c r="G564" s="956"/>
      <c r="H564" s="956"/>
      <c r="I564" s="957"/>
    </row>
    <row r="565" spans="1:9" ht="31.8" thickBot="1" x14ac:dyDescent="0.35">
      <c r="A565" s="863"/>
      <c r="B565" s="864"/>
      <c r="C565" s="952"/>
      <c r="D565" s="953"/>
      <c r="E565" s="954"/>
      <c r="F565" s="480" t="s">
        <v>20</v>
      </c>
      <c r="G565" s="480" t="s">
        <v>21</v>
      </c>
      <c r="H565" s="480" t="s">
        <v>22</v>
      </c>
      <c r="I565" s="14" t="s">
        <v>23</v>
      </c>
    </row>
    <row r="566" spans="1:9" ht="16.8" thickTop="1" thickBot="1" x14ac:dyDescent="0.35">
      <c r="A566" s="9"/>
      <c r="B566" s="9"/>
      <c r="C566" s="9"/>
      <c r="D566" s="513"/>
      <c r="E566" s="10"/>
      <c r="F566" s="9"/>
      <c r="G566" s="9"/>
      <c r="H566" s="9"/>
      <c r="I566" s="9"/>
    </row>
    <row r="567" spans="1:9" ht="16.2" thickTop="1" x14ac:dyDescent="0.3">
      <c r="A567" s="602" t="s">
        <v>32</v>
      </c>
      <c r="B567" s="609" t="s">
        <v>173</v>
      </c>
      <c r="C567" s="590" t="s">
        <v>90</v>
      </c>
      <c r="D567" s="591">
        <v>0.6</v>
      </c>
      <c r="E567" s="606">
        <v>98532</v>
      </c>
      <c r="F567" s="607" t="str">
        <f>IF(A567="MO",D567*E567,"")</f>
        <v/>
      </c>
      <c r="G567" s="607">
        <f>IF(A567="MA",D567*E567,"")</f>
        <v>59119.199999999997</v>
      </c>
      <c r="H567" s="607" t="str">
        <f>IF(A567="HE",D567*E567,"")</f>
        <v/>
      </c>
      <c r="I567" s="608" t="str">
        <f>IF(A567="OT",D567*E567,"")</f>
        <v/>
      </c>
    </row>
    <row r="568" spans="1:9" ht="16.5" customHeight="1" x14ac:dyDescent="0.3">
      <c r="A568" s="602" t="s">
        <v>24</v>
      </c>
      <c r="B568" s="603" t="s">
        <v>233</v>
      </c>
      <c r="C568" s="604" t="s">
        <v>25</v>
      </c>
      <c r="D568" s="605">
        <v>0.1</v>
      </c>
      <c r="E568" s="606">
        <f>+'M.O 2020'!B10</f>
        <v>175344</v>
      </c>
      <c r="F568" s="607">
        <f>IF(A568="MO",D568*E568,"")</f>
        <v>17534.400000000001</v>
      </c>
      <c r="G568" s="607" t="str">
        <f>IF(A568="MA",D568*E568,"")</f>
        <v/>
      </c>
      <c r="H568" s="607" t="str">
        <f>IF(A568="HE",D568*E568,"")</f>
        <v/>
      </c>
      <c r="I568" s="608" t="str">
        <f>IF(A568="OT",D568*E568,"")</f>
        <v/>
      </c>
    </row>
    <row r="569" spans="1:9" ht="15.75" customHeight="1" x14ac:dyDescent="0.3">
      <c r="A569" s="602" t="s">
        <v>29</v>
      </c>
      <c r="B569" s="603" t="s">
        <v>30</v>
      </c>
      <c r="C569" s="604" t="s">
        <v>28</v>
      </c>
      <c r="D569" s="605">
        <v>0.1</v>
      </c>
      <c r="E569" s="606">
        <f>F568</f>
        <v>17534.400000000001</v>
      </c>
      <c r="F569" s="607" t="str">
        <f>IF(A569="MO",D569*E569,"")</f>
        <v/>
      </c>
      <c r="G569" s="607" t="str">
        <f>IF(A569="MA",D569*E569,"")</f>
        <v/>
      </c>
      <c r="H569" s="607">
        <f>IF(A569="HE",D569*E569,"")</f>
        <v>1753.4400000000003</v>
      </c>
      <c r="I569" s="608" t="str">
        <f>IF(A569="OT",D569*E569,"")</f>
        <v/>
      </c>
    </row>
    <row r="570" spans="1:9" ht="15.75" customHeight="1" x14ac:dyDescent="0.3">
      <c r="A570" s="602"/>
      <c r="B570" s="658"/>
      <c r="C570" s="604"/>
      <c r="D570" s="605"/>
      <c r="E570" s="606"/>
      <c r="F570" s="607" t="str">
        <f>IF(A570="MO",D570*E570,"")</f>
        <v/>
      </c>
      <c r="G570" s="607" t="str">
        <f>IF(A570="MA",D570*E570,"")</f>
        <v/>
      </c>
      <c r="H570" s="607" t="str">
        <f>IF(A570="HE",D570*E570,"")</f>
        <v/>
      </c>
      <c r="I570" s="608" t="str">
        <f>IF(A570="OT",D570*E570,"")</f>
        <v/>
      </c>
    </row>
    <row r="571" spans="1:9" ht="16.2" thickBot="1" x14ac:dyDescent="0.35">
      <c r="A571" s="659"/>
      <c r="B571" s="660" t="s">
        <v>31</v>
      </c>
      <c r="C571" s="661">
        <f>ROUND(SUM(F571:I571),0)</f>
        <v>78407</v>
      </c>
      <c r="D571" s="662" t="str">
        <f>+C563</f>
        <v>m2</v>
      </c>
      <c r="E571" s="663"/>
      <c r="F571" s="664">
        <f>SUM(F567:F570)</f>
        <v>17534.400000000001</v>
      </c>
      <c r="G571" s="664">
        <f>SUM(G567:G570)</f>
        <v>59119.199999999997</v>
      </c>
      <c r="H571" s="664">
        <f>SUM(H567:H570)</f>
        <v>1753.4400000000003</v>
      </c>
      <c r="I571" s="665">
        <f>SUM(I567:I570)</f>
        <v>0</v>
      </c>
    </row>
    <row r="572" spans="1:9" ht="15.6" thickTop="1" thickBot="1" x14ac:dyDescent="0.35"/>
    <row r="573" spans="1:9" ht="16.2" thickTop="1" x14ac:dyDescent="0.3">
      <c r="A573" s="870" t="s">
        <v>39</v>
      </c>
      <c r="B573" s="871"/>
      <c r="C573" s="1092" t="s">
        <v>174</v>
      </c>
      <c r="D573" s="1092"/>
      <c r="E573" s="1092"/>
      <c r="F573" s="1092"/>
      <c r="G573" s="1092"/>
      <c r="H573" s="1092"/>
      <c r="I573" s="1093"/>
    </row>
    <row r="574" spans="1:9" ht="49.5" customHeight="1" x14ac:dyDescent="0.3">
      <c r="A574" s="875" t="s">
        <v>12</v>
      </c>
      <c r="B574" s="876"/>
      <c r="C574" s="1094" t="s">
        <v>175</v>
      </c>
      <c r="D574" s="1094"/>
      <c r="E574" s="1094"/>
      <c r="F574" s="1094"/>
      <c r="G574" s="1094"/>
      <c r="H574" s="1094"/>
      <c r="I574" s="1095"/>
    </row>
    <row r="575" spans="1:9" ht="15.6" x14ac:dyDescent="0.3">
      <c r="A575" s="875" t="s">
        <v>13</v>
      </c>
      <c r="B575" s="876"/>
      <c r="C575" s="1094" t="s">
        <v>7</v>
      </c>
      <c r="D575" s="1094"/>
      <c r="E575" s="1094"/>
      <c r="F575" s="1094"/>
      <c r="G575" s="1094"/>
      <c r="H575" s="1094"/>
      <c r="I575" s="1095"/>
    </row>
    <row r="576" spans="1:9" ht="15.6" x14ac:dyDescent="0.3">
      <c r="A576" s="880" t="s">
        <v>14</v>
      </c>
      <c r="B576" s="882" t="s">
        <v>15</v>
      </c>
      <c r="C576" s="882" t="s">
        <v>16</v>
      </c>
      <c r="D576" s="1096" t="s">
        <v>17</v>
      </c>
      <c r="E576" s="1097" t="s">
        <v>18</v>
      </c>
      <c r="F576" s="882" t="s">
        <v>19</v>
      </c>
      <c r="G576" s="882"/>
      <c r="H576" s="882"/>
      <c r="I576" s="1098"/>
    </row>
    <row r="577" spans="1:9" ht="31.8" thickBot="1" x14ac:dyDescent="0.35">
      <c r="A577" s="881"/>
      <c r="B577" s="883"/>
      <c r="C577" s="883"/>
      <c r="D577" s="885"/>
      <c r="E577" s="887"/>
      <c r="F577" s="481" t="s">
        <v>20</v>
      </c>
      <c r="G577" s="481" t="s">
        <v>21</v>
      </c>
      <c r="H577" s="481" t="s">
        <v>22</v>
      </c>
      <c r="I577" s="362" t="s">
        <v>23</v>
      </c>
    </row>
    <row r="578" spans="1:9" ht="16.8" thickTop="1" thickBot="1" x14ac:dyDescent="0.35">
      <c r="A578" s="99"/>
      <c r="B578" s="99"/>
      <c r="C578" s="99"/>
      <c r="D578" s="526"/>
      <c r="E578" s="100"/>
      <c r="F578" s="99"/>
      <c r="G578" s="99"/>
      <c r="H578" s="99"/>
      <c r="I578" s="99"/>
    </row>
    <row r="579" spans="1:9" ht="16.8" thickTop="1" thickBot="1" x14ac:dyDescent="0.35">
      <c r="A579" s="640" t="s">
        <v>32</v>
      </c>
      <c r="B579" s="641" t="s">
        <v>912</v>
      </c>
      <c r="C579" s="642" t="s">
        <v>7</v>
      </c>
      <c r="D579" s="643">
        <v>1.2</v>
      </c>
      <c r="E579" s="667">
        <v>15000</v>
      </c>
      <c r="F579" s="668" t="str">
        <f t="shared" ref="F579:F585" si="155">IF(A579="MO",D579*E579,"")</f>
        <v/>
      </c>
      <c r="G579" s="668">
        <f t="shared" ref="G579:G585" si="156">IF(A579="MA",D579*E579,"")</f>
        <v>18000</v>
      </c>
      <c r="H579" s="668" t="str">
        <f t="shared" ref="H579:H585" si="157">IF(A579="HE",D579*E579,"")</f>
        <v/>
      </c>
      <c r="I579" s="666" t="str">
        <f t="shared" ref="I579:I585" si="158">IF(A579="OT",D579*E579,"")</f>
        <v/>
      </c>
    </row>
    <row r="580" spans="1:9" ht="16.2" thickTop="1" x14ac:dyDescent="0.3">
      <c r="A580" s="640" t="s">
        <v>32</v>
      </c>
      <c r="B580" s="641" t="s">
        <v>913</v>
      </c>
      <c r="C580" s="642" t="s">
        <v>205</v>
      </c>
      <c r="D580" s="643">
        <v>10</v>
      </c>
      <c r="E580" s="667">
        <v>400</v>
      </c>
      <c r="F580" s="668" t="str">
        <f t="shared" ref="F580" si="159">IF(A580="MO",D580*E580,"")</f>
        <v/>
      </c>
      <c r="G580" s="668">
        <f t="shared" ref="G580" si="160">IF(A580="MA",D580*E580,"")</f>
        <v>4000</v>
      </c>
      <c r="H580" s="668" t="str">
        <f t="shared" ref="H580" si="161">IF(A580="HE",D580*E580,"")</f>
        <v/>
      </c>
      <c r="I580" s="666" t="str">
        <f t="shared" ref="I580" si="162">IF(A580="OT",D580*E580,"")</f>
        <v/>
      </c>
    </row>
    <row r="581" spans="1:9" ht="15.75" customHeight="1" x14ac:dyDescent="0.3">
      <c r="A581" s="375" t="s">
        <v>32</v>
      </c>
      <c r="B581" s="377" t="s">
        <v>176</v>
      </c>
      <c r="C581" s="383" t="s">
        <v>7</v>
      </c>
      <c r="D581" s="520">
        <v>1</v>
      </c>
      <c r="E581" s="367">
        <v>35000</v>
      </c>
      <c r="F581" s="322" t="str">
        <f t="shared" si="155"/>
        <v/>
      </c>
      <c r="G581" s="322">
        <f t="shared" si="156"/>
        <v>35000</v>
      </c>
      <c r="H581" s="322" t="str">
        <f t="shared" si="157"/>
        <v/>
      </c>
      <c r="I581" s="323" t="str">
        <f t="shared" si="158"/>
        <v/>
      </c>
    </row>
    <row r="582" spans="1:9" ht="15.75" customHeight="1" x14ac:dyDescent="0.3">
      <c r="A582" s="375" t="s">
        <v>32</v>
      </c>
      <c r="B582" s="377" t="s">
        <v>177</v>
      </c>
      <c r="C582" s="383" t="s">
        <v>90</v>
      </c>
      <c r="D582" s="520">
        <v>1.75</v>
      </c>
      <c r="E582" s="367">
        <v>4400</v>
      </c>
      <c r="F582" s="322" t="str">
        <f t="shared" si="155"/>
        <v/>
      </c>
      <c r="G582" s="322">
        <f t="shared" si="156"/>
        <v>7700</v>
      </c>
      <c r="H582" s="322" t="str">
        <f t="shared" si="157"/>
        <v/>
      </c>
      <c r="I582" s="323" t="str">
        <f t="shared" si="158"/>
        <v/>
      </c>
    </row>
    <row r="583" spans="1:9" ht="15.6" x14ac:dyDescent="0.3">
      <c r="A583" s="15" t="s">
        <v>24</v>
      </c>
      <c r="B583" s="13" t="s">
        <v>430</v>
      </c>
      <c r="C583" s="16" t="s">
        <v>25</v>
      </c>
      <c r="D583" s="515">
        <v>0.19230769230769229</v>
      </c>
      <c r="E583" s="20">
        <f>+'M.O 2020'!B13</f>
        <v>357888</v>
      </c>
      <c r="F583" s="21">
        <f t="shared" si="155"/>
        <v>68824.615384615376</v>
      </c>
      <c r="G583" s="21" t="str">
        <f t="shared" si="156"/>
        <v/>
      </c>
      <c r="H583" s="21" t="str">
        <f t="shared" si="157"/>
        <v/>
      </c>
      <c r="I583" s="22" t="str">
        <f t="shared" si="158"/>
        <v/>
      </c>
    </row>
    <row r="584" spans="1:9" ht="15.6" customHeight="1" x14ac:dyDescent="0.3">
      <c r="A584" s="15" t="s">
        <v>29</v>
      </c>
      <c r="B584" s="11" t="s">
        <v>30</v>
      </c>
      <c r="C584" s="16" t="s">
        <v>28</v>
      </c>
      <c r="D584" s="515">
        <v>0.1</v>
      </c>
      <c r="E584" s="53">
        <f>F583</f>
        <v>68824.615384615376</v>
      </c>
      <c r="F584" s="21" t="str">
        <f t="shared" si="155"/>
        <v/>
      </c>
      <c r="G584" s="21" t="str">
        <f t="shared" si="156"/>
        <v/>
      </c>
      <c r="H584" s="21">
        <f t="shared" si="157"/>
        <v>6882.4615384615381</v>
      </c>
      <c r="I584" s="22" t="str">
        <f t="shared" si="158"/>
        <v/>
      </c>
    </row>
    <row r="585" spans="1:9" ht="30.75" customHeight="1" x14ac:dyDescent="0.3">
      <c r="A585" s="230"/>
      <c r="B585" s="231"/>
      <c r="C585" s="232"/>
      <c r="D585" s="530"/>
      <c r="E585" s="233"/>
      <c r="F585" s="228" t="str">
        <f t="shared" si="155"/>
        <v/>
      </c>
      <c r="G585" s="228" t="str">
        <f t="shared" si="156"/>
        <v/>
      </c>
      <c r="H585" s="228" t="str">
        <f t="shared" si="157"/>
        <v/>
      </c>
      <c r="I585" s="229" t="str">
        <f t="shared" si="158"/>
        <v/>
      </c>
    </row>
    <row r="586" spans="1:9" ht="15.6" customHeight="1" thickBot="1" x14ac:dyDescent="0.35">
      <c r="A586" s="342"/>
      <c r="B586" s="343" t="s">
        <v>31</v>
      </c>
      <c r="C586" s="344">
        <f>ROUND(SUM(F586:I586),0)</f>
        <v>140407</v>
      </c>
      <c r="D586" s="522" t="str">
        <f>+C575</f>
        <v>m3</v>
      </c>
      <c r="E586" s="345"/>
      <c r="F586" s="346">
        <f>SUM(F579:F585)</f>
        <v>68824.615384615376</v>
      </c>
      <c r="G586" s="346">
        <f>SUM(G579:G585)</f>
        <v>64700</v>
      </c>
      <c r="H586" s="346">
        <f>SUM(H579:H585)</f>
        <v>6882.4615384615381</v>
      </c>
      <c r="I586" s="352">
        <f>SUM(I579:I585)</f>
        <v>0</v>
      </c>
    </row>
    <row r="587" spans="1:9" ht="15.6" thickTop="1" thickBot="1" x14ac:dyDescent="0.35"/>
    <row r="588" spans="1:9" ht="16.2" thickTop="1" x14ac:dyDescent="0.3">
      <c r="A588" s="941" t="s">
        <v>35</v>
      </c>
      <c r="B588" s="942"/>
      <c r="C588" s="958" t="s">
        <v>263</v>
      </c>
      <c r="D588" s="959"/>
      <c r="E588" s="959"/>
      <c r="F588" s="959"/>
      <c r="G588" s="959"/>
      <c r="H588" s="959"/>
      <c r="I588" s="960"/>
    </row>
    <row r="589" spans="1:9" ht="15.6" customHeight="1" x14ac:dyDescent="0.3">
      <c r="A589" s="946" t="s">
        <v>12</v>
      </c>
      <c r="B589" s="947"/>
      <c r="C589" s="948" t="s">
        <v>264</v>
      </c>
      <c r="D589" s="949"/>
      <c r="E589" s="949"/>
      <c r="F589" s="949"/>
      <c r="G589" s="949"/>
      <c r="H589" s="949"/>
      <c r="I589" s="950"/>
    </row>
    <row r="590" spans="1:9" ht="15.6" x14ac:dyDescent="0.3">
      <c r="A590" s="946" t="s">
        <v>13</v>
      </c>
      <c r="B590" s="947"/>
      <c r="C590" s="948" t="s">
        <v>5</v>
      </c>
      <c r="D590" s="949"/>
      <c r="E590" s="949"/>
      <c r="F590" s="949"/>
      <c r="G590" s="949"/>
      <c r="H590" s="949"/>
      <c r="I590" s="950"/>
    </row>
    <row r="591" spans="1:9" ht="15.6" x14ac:dyDescent="0.3">
      <c r="A591" s="863" t="s">
        <v>14</v>
      </c>
      <c r="B591" s="864" t="s">
        <v>15</v>
      </c>
      <c r="C591" s="864" t="s">
        <v>16</v>
      </c>
      <c r="D591" s="866" t="s">
        <v>17</v>
      </c>
      <c r="E591" s="868" t="s">
        <v>18</v>
      </c>
      <c r="F591" s="955" t="s">
        <v>19</v>
      </c>
      <c r="G591" s="956"/>
      <c r="H591" s="956"/>
      <c r="I591" s="957"/>
    </row>
    <row r="592" spans="1:9" ht="31.8" thickBot="1" x14ac:dyDescent="0.35">
      <c r="A592" s="951"/>
      <c r="B592" s="952"/>
      <c r="C592" s="952"/>
      <c r="D592" s="953"/>
      <c r="E592" s="954"/>
      <c r="F592" s="480" t="s">
        <v>20</v>
      </c>
      <c r="G592" s="480" t="s">
        <v>21</v>
      </c>
      <c r="H592" s="480" t="s">
        <v>22</v>
      </c>
      <c r="I592" s="14" t="s">
        <v>23</v>
      </c>
    </row>
    <row r="593" spans="1:9" ht="16.8" thickTop="1" thickBot="1" x14ac:dyDescent="0.35">
      <c r="A593" s="9"/>
      <c r="B593" s="9"/>
      <c r="C593" s="9"/>
      <c r="D593" s="513"/>
      <c r="E593" s="10"/>
      <c r="F593" s="9"/>
      <c r="G593" s="9"/>
      <c r="H593" s="9"/>
      <c r="I593" s="9"/>
    </row>
    <row r="594" spans="1:9" ht="15.75" customHeight="1" thickTop="1" x14ac:dyDescent="0.3">
      <c r="A594" s="64" t="s">
        <v>32</v>
      </c>
      <c r="B594" s="52" t="s">
        <v>265</v>
      </c>
      <c r="C594" s="276" t="s">
        <v>112</v>
      </c>
      <c r="D594" s="549">
        <v>0.04</v>
      </c>
      <c r="E594" s="281">
        <f>+F597</f>
        <v>16533.440000000002</v>
      </c>
      <c r="F594" s="21" t="str">
        <f t="shared" ref="F594:F596" si="163">IF(A594="MO",D594*E594,"")</f>
        <v/>
      </c>
      <c r="G594" s="21">
        <f t="shared" ref="G594:G596" si="164">IF(A594="MA",D594*E594,"")</f>
        <v>661.33760000000007</v>
      </c>
      <c r="H594" s="21" t="str">
        <f t="shared" ref="H594:H596" si="165">IF(A594="HE",D594*E594,"")</f>
        <v/>
      </c>
      <c r="I594" s="22" t="str">
        <f t="shared" ref="I594:I596" si="166">IF(A594="OT",D594*E594,"")</f>
        <v/>
      </c>
    </row>
    <row r="595" spans="1:9" ht="15.6" x14ac:dyDescent="0.3">
      <c r="A595" s="289" t="s">
        <v>32</v>
      </c>
      <c r="B595" s="61" t="s">
        <v>178</v>
      </c>
      <c r="C595" s="290" t="s">
        <v>90</v>
      </c>
      <c r="D595" s="556">
        <v>0.65</v>
      </c>
      <c r="E595" s="85">
        <v>6808</v>
      </c>
      <c r="F595" s="21" t="str">
        <f t="shared" si="163"/>
        <v/>
      </c>
      <c r="G595" s="21">
        <f t="shared" si="164"/>
        <v>4425.2</v>
      </c>
      <c r="H595" s="21" t="str">
        <f t="shared" si="165"/>
        <v/>
      </c>
      <c r="I595" s="22" t="str">
        <f t="shared" si="166"/>
        <v/>
      </c>
    </row>
    <row r="596" spans="1:9" ht="15.75" customHeight="1" x14ac:dyDescent="0.3">
      <c r="A596" s="64" t="s">
        <v>32</v>
      </c>
      <c r="B596" s="52" t="s">
        <v>266</v>
      </c>
      <c r="C596" s="276" t="s">
        <v>235</v>
      </c>
      <c r="D596" s="542">
        <v>3.25</v>
      </c>
      <c r="E596" s="281">
        <v>3920</v>
      </c>
      <c r="F596" s="21" t="str">
        <f t="shared" si="163"/>
        <v/>
      </c>
      <c r="G596" s="21">
        <f t="shared" si="164"/>
        <v>12740</v>
      </c>
      <c r="H596" s="21" t="str">
        <f t="shared" si="165"/>
        <v/>
      </c>
      <c r="I596" s="22" t="str">
        <f t="shared" si="166"/>
        <v/>
      </c>
    </row>
    <row r="597" spans="1:9" ht="15.6" x14ac:dyDescent="0.3">
      <c r="A597" s="276" t="s">
        <v>24</v>
      </c>
      <c r="B597" s="13" t="s">
        <v>206</v>
      </c>
      <c r="C597" s="276" t="s">
        <v>25</v>
      </c>
      <c r="D597" s="557">
        <v>7.0000000000000007E-2</v>
      </c>
      <c r="E597" s="20">
        <f>+'M.O 2020'!B11</f>
        <v>236192</v>
      </c>
      <c r="F597" s="21">
        <f>IF(A597="MO",D597*E597,"")</f>
        <v>16533.440000000002</v>
      </c>
      <c r="G597" s="21" t="str">
        <f t="shared" ref="G597" si="167">IF(A597="MA",D597*E597,"")</f>
        <v/>
      </c>
      <c r="H597" s="21" t="str">
        <f>IF(A597="HE",D597*E597,"")</f>
        <v/>
      </c>
      <c r="I597" s="22" t="str">
        <f>IF(A597="OT",D597*E597,"")</f>
        <v/>
      </c>
    </row>
    <row r="598" spans="1:9" ht="15.6" x14ac:dyDescent="0.3">
      <c r="A598" s="276" t="s">
        <v>32</v>
      </c>
      <c r="B598" s="52" t="s">
        <v>207</v>
      </c>
      <c r="C598" s="276" t="s">
        <v>112</v>
      </c>
      <c r="D598" s="549">
        <v>0.05</v>
      </c>
      <c r="E598" s="20">
        <f>+G595+G596+G600</f>
        <v>17450.2</v>
      </c>
      <c r="F598" s="21" t="str">
        <f>IF(A598="MO",D598*E598,"")</f>
        <v/>
      </c>
      <c r="G598" s="21">
        <f t="shared" ref="G598:G600" si="168">IF(A598="MA",D598*E598,"")</f>
        <v>872.5100000000001</v>
      </c>
      <c r="H598" s="21" t="str">
        <f>IF(A598="HE",D598*E598,"")</f>
        <v/>
      </c>
      <c r="I598" s="22" t="str">
        <f>IF(A598="OT",D598*E598,"")</f>
        <v/>
      </c>
    </row>
    <row r="599" spans="1:9" ht="15.6" x14ac:dyDescent="0.3">
      <c r="A599" s="82" t="s">
        <v>29</v>
      </c>
      <c r="B599" s="13" t="s">
        <v>115</v>
      </c>
      <c r="C599" s="291" t="s">
        <v>28</v>
      </c>
      <c r="D599" s="524">
        <v>0.05</v>
      </c>
      <c r="E599" s="20">
        <f>+F597</f>
        <v>16533.440000000002</v>
      </c>
      <c r="F599" s="21" t="str">
        <f>IF(A599="MO",D599*E599,"")</f>
        <v/>
      </c>
      <c r="G599" s="21" t="str">
        <f t="shared" si="168"/>
        <v/>
      </c>
      <c r="H599" s="21">
        <f>IF(A599="HE",D599*E599,"")</f>
        <v>826.67200000000014</v>
      </c>
      <c r="I599" s="22" t="str">
        <f>IF(A599="OT",D599*E599,"")</f>
        <v/>
      </c>
    </row>
    <row r="600" spans="1:9" ht="15.6" x14ac:dyDescent="0.3">
      <c r="A600" s="19" t="s">
        <v>32</v>
      </c>
      <c r="B600" s="13" t="s">
        <v>213</v>
      </c>
      <c r="C600" s="16" t="s">
        <v>205</v>
      </c>
      <c r="D600" s="515">
        <v>0.1</v>
      </c>
      <c r="E600" s="53">
        <v>2850</v>
      </c>
      <c r="F600" s="21" t="str">
        <f t="shared" ref="F600" si="169">IF(A600="MO",D600*E600,"")</f>
        <v/>
      </c>
      <c r="G600" s="21">
        <f t="shared" si="168"/>
        <v>285</v>
      </c>
      <c r="H600" s="21" t="str">
        <f t="shared" ref="H600" si="170">IF(A600="HE",D600*E600,"")</f>
        <v/>
      </c>
      <c r="I600" s="22" t="str">
        <f t="shared" ref="I600" si="171">IF(A600="OT",D600*E600,"")</f>
        <v/>
      </c>
    </row>
    <row r="601" spans="1:9" ht="15.6" x14ac:dyDescent="0.3">
      <c r="A601" s="19"/>
      <c r="B601" s="13"/>
      <c r="C601" s="12"/>
      <c r="D601" s="523"/>
      <c r="E601" s="20"/>
      <c r="F601" s="21"/>
      <c r="G601" s="21"/>
      <c r="H601" s="21"/>
      <c r="I601" s="22"/>
    </row>
    <row r="602" spans="1:9" ht="19.5" customHeight="1" thickBot="1" x14ac:dyDescent="0.35">
      <c r="A602" s="23"/>
      <c r="B602" s="24" t="s">
        <v>31</v>
      </c>
      <c r="C602" s="25">
        <f>ROUND(SUM(F602:I602),0)</f>
        <v>36344</v>
      </c>
      <c r="D602" s="516" t="str">
        <f>+C590</f>
        <v>m</v>
      </c>
      <c r="E602" s="26"/>
      <c r="F602" s="27">
        <f>SUM(F594:F601)</f>
        <v>16533.440000000002</v>
      </c>
      <c r="G602" s="27">
        <f>SUM(G594:G601)</f>
        <v>18984.047599999998</v>
      </c>
      <c r="H602" s="27">
        <f>SUM(H594:H601)</f>
        <v>826.67200000000014</v>
      </c>
      <c r="I602" s="27">
        <f>SUM(I594:I601)</f>
        <v>0</v>
      </c>
    </row>
    <row r="603" spans="1:9" ht="15.6" thickTop="1" thickBot="1" x14ac:dyDescent="0.35"/>
    <row r="604" spans="1:9" ht="16.2" thickTop="1" x14ac:dyDescent="0.3">
      <c r="A604" s="870" t="s">
        <v>35</v>
      </c>
      <c r="B604" s="871"/>
      <c r="C604" s="872" t="s">
        <v>179</v>
      </c>
      <c r="D604" s="873"/>
      <c r="E604" s="873"/>
      <c r="F604" s="873"/>
      <c r="G604" s="873"/>
      <c r="H604" s="873"/>
      <c r="I604" s="874"/>
    </row>
    <row r="605" spans="1:9" ht="55.5" customHeight="1" x14ac:dyDescent="0.3">
      <c r="A605" s="875" t="s">
        <v>12</v>
      </c>
      <c r="B605" s="876"/>
      <c r="C605" s="877" t="s">
        <v>478</v>
      </c>
      <c r="D605" s="878"/>
      <c r="E605" s="878"/>
      <c r="F605" s="878"/>
      <c r="G605" s="878"/>
      <c r="H605" s="878"/>
      <c r="I605" s="879"/>
    </row>
    <row r="606" spans="1:9" ht="15.6" x14ac:dyDescent="0.3">
      <c r="A606" s="875" t="s">
        <v>13</v>
      </c>
      <c r="B606" s="876"/>
      <c r="C606" s="877" t="s">
        <v>180</v>
      </c>
      <c r="D606" s="878"/>
      <c r="E606" s="878"/>
      <c r="F606" s="878"/>
      <c r="G606" s="878"/>
      <c r="H606" s="878"/>
      <c r="I606" s="879"/>
    </row>
    <row r="607" spans="1:9" ht="15.6" x14ac:dyDescent="0.3">
      <c r="A607" s="880" t="s">
        <v>14</v>
      </c>
      <c r="B607" s="882" t="s">
        <v>15</v>
      </c>
      <c r="C607" s="883" t="s">
        <v>16</v>
      </c>
      <c r="D607" s="885" t="s">
        <v>17</v>
      </c>
      <c r="E607" s="887" t="s">
        <v>18</v>
      </c>
      <c r="F607" s="889" t="s">
        <v>19</v>
      </c>
      <c r="G607" s="890"/>
      <c r="H607" s="890"/>
      <c r="I607" s="891"/>
    </row>
    <row r="608" spans="1:9" ht="31.8" thickBot="1" x14ac:dyDescent="0.35">
      <c r="A608" s="881"/>
      <c r="B608" s="883"/>
      <c r="C608" s="884"/>
      <c r="D608" s="886"/>
      <c r="E608" s="888"/>
      <c r="F608" s="481" t="s">
        <v>20</v>
      </c>
      <c r="G608" s="481" t="s">
        <v>21</v>
      </c>
      <c r="H608" s="481" t="s">
        <v>22</v>
      </c>
      <c r="I608" s="362" t="s">
        <v>23</v>
      </c>
    </row>
    <row r="609" spans="1:9" ht="16.8" thickTop="1" thickBot="1" x14ac:dyDescent="0.35">
      <c r="A609" s="380"/>
      <c r="B609" s="380"/>
      <c r="C609" s="380"/>
      <c r="D609" s="518"/>
      <c r="E609" s="381"/>
      <c r="F609" s="380"/>
      <c r="G609" s="380"/>
      <c r="H609" s="380"/>
      <c r="I609" s="380"/>
    </row>
    <row r="610" spans="1:9" ht="16.2" thickTop="1" x14ac:dyDescent="0.3">
      <c r="A610" s="375" t="s">
        <v>32</v>
      </c>
      <c r="B610" s="377" t="s">
        <v>181</v>
      </c>
      <c r="C610" s="383" t="s">
        <v>113</v>
      </c>
      <c r="D610" s="520">
        <v>1</v>
      </c>
      <c r="E610" s="367">
        <f>+'especiales '!D70</f>
        <v>16043691.4</v>
      </c>
      <c r="F610" s="394" t="str">
        <f t="shared" ref="F610:F612" si="172">IF(A610="MO",D610*E610,"")</f>
        <v/>
      </c>
      <c r="G610" s="394">
        <f t="shared" ref="G610:G612" si="173">IF(A610="MA",D610*E610,"")</f>
        <v>16043691.4</v>
      </c>
      <c r="H610" s="394" t="str">
        <f t="shared" ref="H610:H612" si="174">IF(A610="HE",D610*E610,"")</f>
        <v/>
      </c>
      <c r="I610" s="395" t="str">
        <f t="shared" ref="I610:I612" si="175">IF(A610="OT",D610*E610,"")</f>
        <v/>
      </c>
    </row>
    <row r="611" spans="1:9" ht="15.6" x14ac:dyDescent="0.3">
      <c r="A611" s="350" t="s">
        <v>24</v>
      </c>
      <c r="B611" s="349" t="s">
        <v>182</v>
      </c>
      <c r="C611" s="351" t="s">
        <v>102</v>
      </c>
      <c r="D611" s="412">
        <v>1</v>
      </c>
      <c r="E611" s="321">
        <f>+'especiales '!D71</f>
        <v>425844.5</v>
      </c>
      <c r="F611" s="322">
        <f t="shared" si="172"/>
        <v>425844.5</v>
      </c>
      <c r="G611" s="322" t="str">
        <f t="shared" si="173"/>
        <v/>
      </c>
      <c r="H611" s="322" t="str">
        <f t="shared" si="174"/>
        <v/>
      </c>
      <c r="I611" s="323" t="str">
        <f t="shared" si="175"/>
        <v/>
      </c>
    </row>
    <row r="612" spans="1:9" ht="15.6" x14ac:dyDescent="0.3">
      <c r="A612" s="350"/>
      <c r="B612" s="319"/>
      <c r="C612" s="351"/>
      <c r="D612" s="412"/>
      <c r="E612" s="321"/>
      <c r="F612" s="322" t="str">
        <f t="shared" si="172"/>
        <v/>
      </c>
      <c r="G612" s="322" t="str">
        <f t="shared" si="173"/>
        <v/>
      </c>
      <c r="H612" s="322" t="str">
        <f t="shared" si="174"/>
        <v/>
      </c>
      <c r="I612" s="323" t="str">
        <f t="shared" si="175"/>
        <v/>
      </c>
    </row>
    <row r="613" spans="1:9" ht="16.2" thickBot="1" x14ac:dyDescent="0.35">
      <c r="A613" s="342"/>
      <c r="B613" s="343" t="s">
        <v>31</v>
      </c>
      <c r="C613" s="344">
        <f>ROUND(SUM(F613:I613),0)</f>
        <v>16469536</v>
      </c>
      <c r="D613" s="522" t="str">
        <f>+C606</f>
        <v xml:space="preserve">Un </v>
      </c>
      <c r="E613" s="345"/>
      <c r="F613" s="346">
        <f>SUM(F610:F612)</f>
        <v>425844.5</v>
      </c>
      <c r="G613" s="346">
        <f>SUM(G610:G612)</f>
        <v>16043691.4</v>
      </c>
      <c r="H613" s="346">
        <f>SUM(H610:H612)</f>
        <v>0</v>
      </c>
      <c r="I613" s="352">
        <f>SUM(I610:I612)</f>
        <v>0</v>
      </c>
    </row>
    <row r="614" spans="1:9" ht="16.8" thickTop="1" thickBot="1" x14ac:dyDescent="0.35">
      <c r="A614" s="250"/>
      <c r="B614" s="250"/>
      <c r="C614" s="251"/>
      <c r="D614" s="252"/>
      <c r="E614" s="253"/>
      <c r="F614" s="254"/>
      <c r="G614" s="254"/>
      <c r="H614" s="254"/>
      <c r="I614" s="254"/>
    </row>
    <row r="615" spans="1:9" ht="52.5" customHeight="1" thickTop="1" x14ac:dyDescent="0.3">
      <c r="A615" s="941" t="s">
        <v>35</v>
      </c>
      <c r="B615" s="942"/>
      <c r="C615" s="958" t="s">
        <v>183</v>
      </c>
      <c r="D615" s="959"/>
      <c r="E615" s="959"/>
      <c r="F615" s="959"/>
      <c r="G615" s="959"/>
      <c r="H615" s="959"/>
      <c r="I615" s="960"/>
    </row>
    <row r="616" spans="1:9" ht="36" customHeight="1" x14ac:dyDescent="0.3">
      <c r="A616" s="946" t="s">
        <v>12</v>
      </c>
      <c r="B616" s="947"/>
      <c r="C616" s="948" t="s">
        <v>392</v>
      </c>
      <c r="D616" s="949"/>
      <c r="E616" s="949"/>
      <c r="F616" s="949"/>
      <c r="G616" s="949"/>
      <c r="H616" s="949"/>
      <c r="I616" s="950"/>
    </row>
    <row r="617" spans="1:9" ht="15.6" x14ac:dyDescent="0.3">
      <c r="A617" s="946" t="s">
        <v>13</v>
      </c>
      <c r="B617" s="947"/>
      <c r="C617" s="948" t="s">
        <v>90</v>
      </c>
      <c r="D617" s="949"/>
      <c r="E617" s="949"/>
      <c r="F617" s="949"/>
      <c r="G617" s="949"/>
      <c r="H617" s="949"/>
      <c r="I617" s="950"/>
    </row>
    <row r="618" spans="1:9" ht="15.6" x14ac:dyDescent="0.3">
      <c r="A618" s="863" t="s">
        <v>14</v>
      </c>
      <c r="B618" s="864" t="s">
        <v>15</v>
      </c>
      <c r="C618" s="864" t="s">
        <v>16</v>
      </c>
      <c r="D618" s="866" t="s">
        <v>17</v>
      </c>
      <c r="E618" s="868" t="s">
        <v>18</v>
      </c>
      <c r="F618" s="955" t="s">
        <v>19</v>
      </c>
      <c r="G618" s="956"/>
      <c r="H618" s="956"/>
      <c r="I618" s="957"/>
    </row>
    <row r="619" spans="1:9" ht="31.8" thickBot="1" x14ac:dyDescent="0.35">
      <c r="A619" s="951"/>
      <c r="B619" s="952"/>
      <c r="C619" s="952"/>
      <c r="D619" s="953"/>
      <c r="E619" s="954"/>
      <c r="F619" s="480" t="s">
        <v>20</v>
      </c>
      <c r="G619" s="480" t="s">
        <v>21</v>
      </c>
      <c r="H619" s="480" t="s">
        <v>22</v>
      </c>
      <c r="I619" s="14" t="s">
        <v>23</v>
      </c>
    </row>
    <row r="620" spans="1:9" ht="16.8" thickTop="1" thickBot="1" x14ac:dyDescent="0.35">
      <c r="A620" s="9"/>
      <c r="B620" s="9"/>
      <c r="C620" s="9"/>
      <c r="D620" s="513"/>
      <c r="E620" s="10"/>
      <c r="F620" s="9"/>
      <c r="G620" s="9"/>
      <c r="H620" s="9"/>
      <c r="I620" s="9"/>
    </row>
    <row r="621" spans="1:9" ht="34.5" customHeight="1" thickTop="1" x14ac:dyDescent="0.3">
      <c r="A621" s="292" t="s">
        <v>32</v>
      </c>
      <c r="B621" s="38" t="s">
        <v>98</v>
      </c>
      <c r="C621" s="82" t="s">
        <v>5</v>
      </c>
      <c r="D621" s="529">
        <v>1</v>
      </c>
      <c r="E621" s="20">
        <v>3266.6666666666665</v>
      </c>
      <c r="F621" s="21" t="str">
        <f t="shared" ref="F621:F626" si="176">IF(A621="MO",D621*E621,"")</f>
        <v/>
      </c>
      <c r="G621" s="21">
        <f t="shared" ref="G621:G626" si="177">IF(A621="MA",D621*E621,"")</f>
        <v>3266.6666666666665</v>
      </c>
      <c r="H621" s="21" t="str">
        <f t="shared" ref="H621:H625" si="178">IF(A621="HE",D621*E621,"")</f>
        <v/>
      </c>
      <c r="I621" s="22" t="str">
        <f t="shared" ref="I621:I626" si="179">IF(A621="OT",D621*E621,"")</f>
        <v/>
      </c>
    </row>
    <row r="622" spans="1:9" ht="15.6" x14ac:dyDescent="0.3">
      <c r="A622" s="400" t="s">
        <v>32</v>
      </c>
      <c r="B622" s="401" t="s">
        <v>103</v>
      </c>
      <c r="C622" s="402" t="s">
        <v>5</v>
      </c>
      <c r="D622" s="558">
        <v>0.5</v>
      </c>
      <c r="E622" s="403">
        <v>1200</v>
      </c>
      <c r="F622" s="404" t="str">
        <f t="shared" si="176"/>
        <v/>
      </c>
      <c r="G622" s="404">
        <f t="shared" si="177"/>
        <v>600</v>
      </c>
      <c r="H622" s="404" t="str">
        <f t="shared" si="178"/>
        <v/>
      </c>
      <c r="I622" s="323" t="str">
        <f t="shared" si="179"/>
        <v/>
      </c>
    </row>
    <row r="623" spans="1:9" ht="15.75" customHeight="1" x14ac:dyDescent="0.3">
      <c r="A623" s="292" t="s">
        <v>32</v>
      </c>
      <c r="B623" s="38" t="s">
        <v>100</v>
      </c>
      <c r="C623" s="82" t="s">
        <v>101</v>
      </c>
      <c r="D623" s="529">
        <v>0.15</v>
      </c>
      <c r="E623" s="20">
        <v>2850</v>
      </c>
      <c r="F623" s="21" t="str">
        <f t="shared" si="176"/>
        <v/>
      </c>
      <c r="G623" s="21">
        <f t="shared" si="177"/>
        <v>427.5</v>
      </c>
      <c r="H623" s="21" t="str">
        <f t="shared" si="178"/>
        <v/>
      </c>
      <c r="I623" s="22" t="str">
        <f t="shared" si="179"/>
        <v/>
      </c>
    </row>
    <row r="624" spans="1:9" ht="15.75" customHeight="1" x14ac:dyDescent="0.3">
      <c r="A624" s="669" t="s">
        <v>32</v>
      </c>
      <c r="B624" s="603" t="s">
        <v>184</v>
      </c>
      <c r="C624" s="604" t="s">
        <v>90</v>
      </c>
      <c r="D624" s="605">
        <v>1</v>
      </c>
      <c r="E624" s="606">
        <f>227588/30</f>
        <v>7586.2666666666664</v>
      </c>
      <c r="F624" s="607" t="str">
        <f t="shared" si="176"/>
        <v/>
      </c>
      <c r="G624" s="607">
        <f t="shared" si="177"/>
        <v>7586.2666666666664</v>
      </c>
      <c r="H624" s="607" t="str">
        <f t="shared" si="178"/>
        <v/>
      </c>
      <c r="I624" s="608" t="str">
        <f t="shared" si="179"/>
        <v/>
      </c>
    </row>
    <row r="625" spans="1:9" ht="15.6" x14ac:dyDescent="0.3">
      <c r="A625" s="15" t="s">
        <v>24</v>
      </c>
      <c r="B625" s="13" t="s">
        <v>206</v>
      </c>
      <c r="C625" s="16" t="s">
        <v>25</v>
      </c>
      <c r="D625" s="515">
        <v>6.25E-2</v>
      </c>
      <c r="E625" s="20">
        <f>+'M.O 2020'!B11</f>
        <v>236192</v>
      </c>
      <c r="F625" s="21">
        <f t="shared" si="176"/>
        <v>14762</v>
      </c>
      <c r="G625" s="21" t="str">
        <f t="shared" si="177"/>
        <v/>
      </c>
      <c r="H625" s="21" t="str">
        <f t="shared" si="178"/>
        <v/>
      </c>
      <c r="I625" s="22" t="str">
        <f t="shared" si="179"/>
        <v/>
      </c>
    </row>
    <row r="626" spans="1:9" ht="15.6" x14ac:dyDescent="0.3">
      <c r="A626" s="292" t="s">
        <v>29</v>
      </c>
      <c r="B626" s="13" t="s">
        <v>115</v>
      </c>
      <c r="C626" s="291" t="s">
        <v>28</v>
      </c>
      <c r="D626" s="559">
        <v>0.1</v>
      </c>
      <c r="E626" s="20">
        <f>+F625</f>
        <v>14762</v>
      </c>
      <c r="F626" s="21" t="str">
        <f t="shared" si="176"/>
        <v/>
      </c>
      <c r="G626" s="21" t="str">
        <f t="shared" si="177"/>
        <v/>
      </c>
      <c r="H626" s="21">
        <f>IF(A626="HE",D626*E626,"")</f>
        <v>1476.2</v>
      </c>
      <c r="I626" s="22" t="str">
        <f t="shared" si="179"/>
        <v/>
      </c>
    </row>
    <row r="627" spans="1:9" ht="15.6" x14ac:dyDescent="0.3">
      <c r="A627" s="19"/>
      <c r="B627" s="13"/>
      <c r="C627" s="12"/>
      <c r="D627" s="523"/>
      <c r="E627" s="20"/>
      <c r="F627" s="21"/>
      <c r="G627" s="21"/>
      <c r="H627" s="21"/>
      <c r="I627" s="22"/>
    </row>
    <row r="628" spans="1:9" ht="33" customHeight="1" thickBot="1" x14ac:dyDescent="0.35">
      <c r="A628" s="23"/>
      <c r="B628" s="24" t="s">
        <v>31</v>
      </c>
      <c r="C628" s="25">
        <f>ROUND(SUM(F628:I628),0)</f>
        <v>28119</v>
      </c>
      <c r="D628" s="516" t="str">
        <f>+C617</f>
        <v>Kg</v>
      </c>
      <c r="E628" s="26"/>
      <c r="F628" s="27">
        <f>SUM(F621:F627)</f>
        <v>14762</v>
      </c>
      <c r="G628" s="27">
        <f>SUM(G621:G627)</f>
        <v>11880.433333333332</v>
      </c>
      <c r="H628" s="27">
        <f>SUM(H621:H627)</f>
        <v>1476.2</v>
      </c>
      <c r="I628" s="293">
        <f>SUM(I621:I627)</f>
        <v>0</v>
      </c>
    </row>
    <row r="629" spans="1:9" ht="15.6" thickTop="1" thickBot="1" x14ac:dyDescent="0.35"/>
    <row r="630" spans="1:9" ht="16.2" thickTop="1" x14ac:dyDescent="0.3">
      <c r="A630" s="870" t="s">
        <v>35</v>
      </c>
      <c r="B630" s="871"/>
      <c r="C630" s="872" t="s">
        <v>433</v>
      </c>
      <c r="D630" s="873"/>
      <c r="E630" s="873"/>
      <c r="F630" s="873"/>
      <c r="G630" s="873"/>
      <c r="H630" s="873"/>
      <c r="I630" s="874"/>
    </row>
    <row r="631" spans="1:9" ht="15.75" customHeight="1" x14ac:dyDescent="0.3">
      <c r="A631" s="939" t="s">
        <v>12</v>
      </c>
      <c r="B631" s="940"/>
      <c r="C631" s="877" t="s">
        <v>479</v>
      </c>
      <c r="D631" s="878"/>
      <c r="E631" s="878"/>
      <c r="F631" s="878"/>
      <c r="G631" s="878"/>
      <c r="H631" s="878"/>
      <c r="I631" s="879"/>
    </row>
    <row r="632" spans="1:9" ht="15.6" x14ac:dyDescent="0.3">
      <c r="A632" s="875" t="s">
        <v>13</v>
      </c>
      <c r="B632" s="876"/>
      <c r="C632" s="877" t="s">
        <v>113</v>
      </c>
      <c r="D632" s="878"/>
      <c r="E632" s="878"/>
      <c r="F632" s="878"/>
      <c r="G632" s="878"/>
      <c r="H632" s="878"/>
      <c r="I632" s="879"/>
    </row>
    <row r="633" spans="1:9" ht="15.6" x14ac:dyDescent="0.3">
      <c r="A633" s="880" t="s">
        <v>14</v>
      </c>
      <c r="B633" s="882" t="s">
        <v>15</v>
      </c>
      <c r="C633" s="883" t="s">
        <v>16</v>
      </c>
      <c r="D633" s="885" t="s">
        <v>17</v>
      </c>
      <c r="E633" s="887" t="s">
        <v>18</v>
      </c>
      <c r="F633" s="889" t="s">
        <v>19</v>
      </c>
      <c r="G633" s="890"/>
      <c r="H633" s="890"/>
      <c r="I633" s="891"/>
    </row>
    <row r="634" spans="1:9" ht="31.8" thickBot="1" x14ac:dyDescent="0.35">
      <c r="A634" s="881"/>
      <c r="B634" s="883"/>
      <c r="C634" s="884"/>
      <c r="D634" s="886"/>
      <c r="E634" s="888"/>
      <c r="F634" s="481" t="s">
        <v>20</v>
      </c>
      <c r="G634" s="481" t="s">
        <v>21</v>
      </c>
      <c r="H634" s="481" t="s">
        <v>22</v>
      </c>
      <c r="I634" s="362" t="s">
        <v>23</v>
      </c>
    </row>
    <row r="635" spans="1:9" ht="16.8" thickTop="1" thickBot="1" x14ac:dyDescent="0.35">
      <c r="A635" s="380"/>
      <c r="B635" s="380"/>
      <c r="C635" s="380"/>
      <c r="D635" s="518"/>
      <c r="E635" s="381"/>
      <c r="F635" s="380"/>
      <c r="G635" s="380"/>
      <c r="H635" s="380"/>
      <c r="I635" s="380"/>
    </row>
    <row r="636" spans="1:9" ht="63" thickTop="1" x14ac:dyDescent="0.3">
      <c r="A636" s="355" t="s">
        <v>32</v>
      </c>
      <c r="B636" s="378" t="s">
        <v>434</v>
      </c>
      <c r="C636" s="357" t="s">
        <v>113</v>
      </c>
      <c r="D636" s="534">
        <v>1</v>
      </c>
      <c r="E636" s="394">
        <f>+'especiales '!D75</f>
        <v>17102979.600000001</v>
      </c>
      <c r="F636" s="394" t="str">
        <f t="shared" ref="F636:F642" si="180">IF(A636="MO",D636*E636,"")</f>
        <v/>
      </c>
      <c r="G636" s="394">
        <f t="shared" ref="G636:G642" si="181">IF(A636="MA",D636*E636,"")</f>
        <v>17102979.600000001</v>
      </c>
      <c r="H636" s="394" t="str">
        <f t="shared" ref="H636:H642" si="182">IF(A636="HE",D636*E636,"")</f>
        <v/>
      </c>
      <c r="I636" s="395" t="str">
        <f t="shared" ref="I636:I642" si="183">IF(A636="OT",D636*E636,"")</f>
        <v/>
      </c>
    </row>
    <row r="637" spans="1:9" ht="19.5" customHeight="1" x14ac:dyDescent="0.3">
      <c r="A637" s="355" t="s">
        <v>32</v>
      </c>
      <c r="B637" s="396" t="s">
        <v>435</v>
      </c>
      <c r="C637" s="357" t="s">
        <v>5</v>
      </c>
      <c r="D637" s="560">
        <v>2</v>
      </c>
      <c r="E637" s="322">
        <f>+'especiales '!D76</f>
        <v>544417.1</v>
      </c>
      <c r="F637" s="322" t="str">
        <f t="shared" si="180"/>
        <v/>
      </c>
      <c r="G637" s="322">
        <f t="shared" si="181"/>
        <v>1088834.2</v>
      </c>
      <c r="H637" s="322" t="str">
        <f t="shared" si="182"/>
        <v/>
      </c>
      <c r="I637" s="323" t="str">
        <f t="shared" si="183"/>
        <v/>
      </c>
    </row>
    <row r="638" spans="1:9" ht="15.6" x14ac:dyDescent="0.3">
      <c r="A638" s="355" t="s">
        <v>32</v>
      </c>
      <c r="B638" s="378" t="s">
        <v>436</v>
      </c>
      <c r="C638" s="357" t="s">
        <v>113</v>
      </c>
      <c r="D638" s="534">
        <v>1</v>
      </c>
      <c r="E638" s="322">
        <f>+'especiales '!D77</f>
        <v>334041.8</v>
      </c>
      <c r="F638" s="322" t="str">
        <f t="shared" si="180"/>
        <v/>
      </c>
      <c r="G638" s="322">
        <f t="shared" si="181"/>
        <v>334041.8</v>
      </c>
      <c r="H638" s="322" t="str">
        <f t="shared" si="182"/>
        <v/>
      </c>
      <c r="I638" s="323" t="str">
        <f t="shared" si="183"/>
        <v/>
      </c>
    </row>
    <row r="639" spans="1:9" ht="15.6" x14ac:dyDescent="0.3">
      <c r="A639" s="355" t="s">
        <v>32</v>
      </c>
      <c r="B639" s="378" t="s">
        <v>437</v>
      </c>
      <c r="C639" s="357" t="s">
        <v>113</v>
      </c>
      <c r="D639" s="534">
        <v>1</v>
      </c>
      <c r="E639" s="322">
        <f>+'especiales '!D78</f>
        <v>130773.8</v>
      </c>
      <c r="F639" s="322" t="str">
        <f t="shared" si="180"/>
        <v/>
      </c>
      <c r="G639" s="322">
        <f t="shared" si="181"/>
        <v>130773.8</v>
      </c>
      <c r="H639" s="322" t="str">
        <f t="shared" si="182"/>
        <v/>
      </c>
      <c r="I639" s="323" t="str">
        <f t="shared" si="183"/>
        <v/>
      </c>
    </row>
    <row r="640" spans="1:9" ht="15.6" x14ac:dyDescent="0.3">
      <c r="A640" s="355" t="s">
        <v>32</v>
      </c>
      <c r="B640" s="378" t="s">
        <v>438</v>
      </c>
      <c r="C640" s="357" t="s">
        <v>113</v>
      </c>
      <c r="D640" s="534">
        <v>1</v>
      </c>
      <c r="E640" s="322">
        <f>+'especiales '!D79</f>
        <v>642497.5</v>
      </c>
      <c r="F640" s="322" t="str">
        <f t="shared" si="180"/>
        <v/>
      </c>
      <c r="G640" s="322">
        <f t="shared" si="181"/>
        <v>642497.5</v>
      </c>
      <c r="H640" s="322" t="str">
        <f t="shared" si="182"/>
        <v/>
      </c>
      <c r="I640" s="323" t="str">
        <f t="shared" si="183"/>
        <v/>
      </c>
    </row>
    <row r="641" spans="1:9" ht="15.6" x14ac:dyDescent="0.3">
      <c r="A641" s="355" t="s">
        <v>24</v>
      </c>
      <c r="B641" s="378" t="s">
        <v>439</v>
      </c>
      <c r="C641" s="399" t="s">
        <v>102</v>
      </c>
      <c r="D641" s="558">
        <v>1</v>
      </c>
      <c r="E641" s="322">
        <f>+'especiales '!D80</f>
        <v>4258445</v>
      </c>
      <c r="F641" s="322">
        <f>IF(A641="MO",D641*E641,"")</f>
        <v>4258445</v>
      </c>
      <c r="G641" s="322" t="str">
        <f t="shared" si="181"/>
        <v/>
      </c>
      <c r="H641" s="322" t="str">
        <f t="shared" si="182"/>
        <v/>
      </c>
      <c r="I641" s="323" t="str">
        <f t="shared" si="183"/>
        <v/>
      </c>
    </row>
    <row r="642" spans="1:9" ht="15.6" x14ac:dyDescent="0.3">
      <c r="A642" s="350"/>
      <c r="B642" s="319"/>
      <c r="C642" s="351"/>
      <c r="D642" s="412"/>
      <c r="E642" s="321"/>
      <c r="F642" s="322" t="str">
        <f t="shared" si="180"/>
        <v/>
      </c>
      <c r="G642" s="322" t="str">
        <f t="shared" si="181"/>
        <v/>
      </c>
      <c r="H642" s="322" t="str">
        <f t="shared" si="182"/>
        <v/>
      </c>
      <c r="I642" s="323" t="str">
        <f t="shared" si="183"/>
        <v/>
      </c>
    </row>
    <row r="643" spans="1:9" ht="16.2" thickBot="1" x14ac:dyDescent="0.35">
      <c r="A643" s="342"/>
      <c r="B643" s="343" t="s">
        <v>31</v>
      </c>
      <c r="C643" s="344">
        <f>ROUND(SUM(F643:I643),0)</f>
        <v>23557572</v>
      </c>
      <c r="D643" s="522" t="str">
        <f>+C632</f>
        <v>Un</v>
      </c>
      <c r="E643" s="345"/>
      <c r="F643" s="346">
        <f>SUM(F636:F642)</f>
        <v>4258445</v>
      </c>
      <c r="G643" s="346">
        <f>SUM(G636:G642)</f>
        <v>19299126.900000002</v>
      </c>
      <c r="H643" s="346">
        <f>SUM(H636:H642)</f>
        <v>0</v>
      </c>
      <c r="I643" s="352">
        <f>SUM(I636:I642)</f>
        <v>0</v>
      </c>
    </row>
    <row r="644" spans="1:9" ht="16.8" thickTop="1" thickBot="1" x14ac:dyDescent="0.35">
      <c r="A644" s="236"/>
      <c r="B644" s="237"/>
      <c r="C644" s="237"/>
      <c r="D644" s="525"/>
      <c r="E644" s="238"/>
      <c r="F644" s="237"/>
      <c r="G644" s="237"/>
      <c r="H644" s="237"/>
      <c r="I644" s="237"/>
    </row>
    <row r="645" spans="1:9" ht="16.2" thickTop="1" x14ac:dyDescent="0.3">
      <c r="A645" s="870" t="s">
        <v>35</v>
      </c>
      <c r="B645" s="871"/>
      <c r="C645" s="872" t="s">
        <v>440</v>
      </c>
      <c r="D645" s="873"/>
      <c r="E645" s="873"/>
      <c r="F645" s="873"/>
      <c r="G645" s="873"/>
      <c r="H645" s="873"/>
      <c r="I645" s="874"/>
    </row>
    <row r="646" spans="1:9" ht="61.5" customHeight="1" x14ac:dyDescent="0.3">
      <c r="A646" s="939" t="s">
        <v>12</v>
      </c>
      <c r="B646" s="940"/>
      <c r="C646" s="877" t="s">
        <v>480</v>
      </c>
      <c r="D646" s="878"/>
      <c r="E646" s="878"/>
      <c r="F646" s="878"/>
      <c r="G646" s="878"/>
      <c r="H646" s="878"/>
      <c r="I646" s="879"/>
    </row>
    <row r="647" spans="1:9" ht="15.75" customHeight="1" x14ac:dyDescent="0.3">
      <c r="A647" s="875" t="s">
        <v>13</v>
      </c>
      <c r="B647" s="876"/>
      <c r="C647" s="877" t="s">
        <v>113</v>
      </c>
      <c r="D647" s="878"/>
      <c r="E647" s="878"/>
      <c r="F647" s="878"/>
      <c r="G647" s="878"/>
      <c r="H647" s="878"/>
      <c r="I647" s="879"/>
    </row>
    <row r="648" spans="1:9" ht="15.6" x14ac:dyDescent="0.3">
      <c r="A648" s="880" t="s">
        <v>14</v>
      </c>
      <c r="B648" s="882" t="s">
        <v>15</v>
      </c>
      <c r="C648" s="883" t="s">
        <v>16</v>
      </c>
      <c r="D648" s="885" t="s">
        <v>17</v>
      </c>
      <c r="E648" s="887" t="s">
        <v>18</v>
      </c>
      <c r="F648" s="889" t="s">
        <v>19</v>
      </c>
      <c r="G648" s="890"/>
      <c r="H648" s="890"/>
      <c r="I648" s="891"/>
    </row>
    <row r="649" spans="1:9" ht="31.8" thickBot="1" x14ac:dyDescent="0.35">
      <c r="A649" s="881"/>
      <c r="B649" s="883"/>
      <c r="C649" s="884"/>
      <c r="D649" s="886"/>
      <c r="E649" s="888"/>
      <c r="F649" s="481" t="s">
        <v>20</v>
      </c>
      <c r="G649" s="481" t="s">
        <v>21</v>
      </c>
      <c r="H649" s="481" t="s">
        <v>22</v>
      </c>
      <c r="I649" s="362" t="s">
        <v>23</v>
      </c>
    </row>
    <row r="650" spans="1:9" ht="16.8" thickTop="1" thickBot="1" x14ac:dyDescent="0.35">
      <c r="A650" s="99"/>
      <c r="B650" s="99"/>
      <c r="C650" s="99"/>
      <c r="D650" s="526"/>
      <c r="E650" s="100"/>
      <c r="F650" s="99"/>
      <c r="G650" s="99"/>
      <c r="H650" s="99"/>
      <c r="I650" s="99"/>
    </row>
    <row r="651" spans="1:9" ht="47.4" thickTop="1" x14ac:dyDescent="0.3">
      <c r="A651" s="355" t="s">
        <v>32</v>
      </c>
      <c r="B651" s="378" t="s">
        <v>481</v>
      </c>
      <c r="C651" s="357" t="s">
        <v>113</v>
      </c>
      <c r="D651" s="534">
        <v>1</v>
      </c>
      <c r="E651" s="405">
        <f>+'especiales '!D84</f>
        <v>3167218.4</v>
      </c>
      <c r="F651" s="394" t="str">
        <f t="shared" ref="F651:F655" si="184">IF(A651="MO",D651*E651,"")</f>
        <v/>
      </c>
      <c r="G651" s="394">
        <f t="shared" ref="G651:G655" si="185">IF(A651="MA",D651*E651,"")</f>
        <v>3167218.4</v>
      </c>
      <c r="H651" s="394" t="str">
        <f t="shared" ref="H651:H655" si="186">IF(A651="HE",D651*E651,"")</f>
        <v/>
      </c>
      <c r="I651" s="395" t="str">
        <f t="shared" ref="I651:I655" si="187">IF(A651="OT",D651*E651,"")</f>
        <v/>
      </c>
    </row>
    <row r="652" spans="1:9" ht="39.75" customHeight="1" x14ac:dyDescent="0.3">
      <c r="A652" s="355" t="s">
        <v>32</v>
      </c>
      <c r="B652" s="396" t="s">
        <v>441</v>
      </c>
      <c r="C652" s="357" t="s">
        <v>113</v>
      </c>
      <c r="D652" s="560">
        <v>10</v>
      </c>
      <c r="E652" s="321">
        <f>+'especiales '!D85</f>
        <v>55456.7</v>
      </c>
      <c r="F652" s="322" t="str">
        <f t="shared" si="184"/>
        <v/>
      </c>
      <c r="G652" s="322">
        <f t="shared" si="185"/>
        <v>554567</v>
      </c>
      <c r="H652" s="322" t="str">
        <f t="shared" si="186"/>
        <v/>
      </c>
      <c r="I652" s="323" t="str">
        <f t="shared" si="187"/>
        <v/>
      </c>
    </row>
    <row r="653" spans="1:9" ht="15.6" x14ac:dyDescent="0.3">
      <c r="A653" s="588" t="s">
        <v>32</v>
      </c>
      <c r="B653" s="609" t="s">
        <v>442</v>
      </c>
      <c r="C653" s="590" t="s">
        <v>90</v>
      </c>
      <c r="D653" s="591">
        <v>40</v>
      </c>
      <c r="E653" s="592">
        <f>155295/25</f>
        <v>6211.8</v>
      </c>
      <c r="F653" s="610" t="str">
        <f t="shared" si="184"/>
        <v/>
      </c>
      <c r="G653" s="593">
        <f t="shared" si="185"/>
        <v>248472</v>
      </c>
      <c r="H653" s="593" t="str">
        <f t="shared" si="186"/>
        <v/>
      </c>
      <c r="I653" s="594" t="str">
        <f t="shared" si="187"/>
        <v/>
      </c>
    </row>
    <row r="654" spans="1:9" ht="15.6" x14ac:dyDescent="0.3">
      <c r="A654" s="80" t="s">
        <v>24</v>
      </c>
      <c r="B654" s="13" t="s">
        <v>827</v>
      </c>
      <c r="C654" s="290" t="s">
        <v>25</v>
      </c>
      <c r="D654" s="556">
        <v>1</v>
      </c>
      <c r="E654" s="20">
        <f>+'M.O 2020'!B15</f>
        <v>862320</v>
      </c>
      <c r="F654" s="21">
        <f t="shared" si="184"/>
        <v>862320</v>
      </c>
      <c r="G654" s="21" t="str">
        <f t="shared" si="185"/>
        <v/>
      </c>
      <c r="H654" s="21" t="str">
        <f t="shared" si="186"/>
        <v/>
      </c>
      <c r="I654" s="22" t="str">
        <f t="shared" si="187"/>
        <v/>
      </c>
    </row>
    <row r="655" spans="1:9" ht="15.6" x14ac:dyDescent="0.3">
      <c r="A655" s="230"/>
      <c r="B655" s="231"/>
      <c r="C655" s="232"/>
      <c r="D655" s="530"/>
      <c r="E655" s="233"/>
      <c r="F655" s="228" t="str">
        <f t="shared" si="184"/>
        <v/>
      </c>
      <c r="G655" s="228" t="str">
        <f t="shared" si="185"/>
        <v/>
      </c>
      <c r="H655" s="228" t="str">
        <f t="shared" si="186"/>
        <v/>
      </c>
      <c r="I655" s="229" t="str">
        <f t="shared" si="187"/>
        <v/>
      </c>
    </row>
    <row r="656" spans="1:9" ht="16.2" thickBot="1" x14ac:dyDescent="0.35">
      <c r="A656" s="342"/>
      <c r="B656" s="343" t="s">
        <v>31</v>
      </c>
      <c r="C656" s="344">
        <f>ROUND(SUM(F656:I656),0)</f>
        <v>4832577</v>
      </c>
      <c r="D656" s="522" t="str">
        <f>+C647</f>
        <v>Un</v>
      </c>
      <c r="E656" s="345"/>
      <c r="F656" s="346">
        <f>SUM(F651:F655)</f>
        <v>862320</v>
      </c>
      <c r="G656" s="346">
        <f>SUM(G651:G655)</f>
        <v>3970257.4</v>
      </c>
      <c r="H656" s="346">
        <f>SUM(H651:H655)</f>
        <v>0</v>
      </c>
      <c r="I656" s="352">
        <f>SUM(I651:I655)</f>
        <v>0</v>
      </c>
    </row>
    <row r="657" spans="1:9" ht="15.6" thickTop="1" thickBot="1" x14ac:dyDescent="0.35"/>
    <row r="658" spans="1:9" ht="16.2" thickTop="1" x14ac:dyDescent="0.3">
      <c r="A658" s="854" t="s">
        <v>35</v>
      </c>
      <c r="B658" s="855"/>
      <c r="C658" s="943" t="s">
        <v>267</v>
      </c>
      <c r="D658" s="944"/>
      <c r="E658" s="944"/>
      <c r="F658" s="944"/>
      <c r="G658" s="944"/>
      <c r="H658" s="944"/>
      <c r="I658" s="945"/>
    </row>
    <row r="659" spans="1:9" ht="30.75" customHeight="1" x14ac:dyDescent="0.3">
      <c r="A659" s="858" t="s">
        <v>12</v>
      </c>
      <c r="B659" s="859"/>
      <c r="C659" s="948" t="s">
        <v>393</v>
      </c>
      <c r="D659" s="949"/>
      <c r="E659" s="949"/>
      <c r="F659" s="949"/>
      <c r="G659" s="949"/>
      <c r="H659" s="949"/>
      <c r="I659" s="950"/>
    </row>
    <row r="660" spans="1:9" ht="15.75" customHeight="1" x14ac:dyDescent="0.3">
      <c r="A660" s="858" t="s">
        <v>13</v>
      </c>
      <c r="B660" s="859"/>
      <c r="C660" s="948" t="s">
        <v>113</v>
      </c>
      <c r="D660" s="949"/>
      <c r="E660" s="949"/>
      <c r="F660" s="949"/>
      <c r="G660" s="949"/>
      <c r="H660" s="949"/>
      <c r="I660" s="950"/>
    </row>
    <row r="661" spans="1:9" ht="15.6" x14ac:dyDescent="0.3">
      <c r="A661" s="862" t="s">
        <v>14</v>
      </c>
      <c r="B661" s="848" t="s">
        <v>15</v>
      </c>
      <c r="C661" s="864" t="s">
        <v>16</v>
      </c>
      <c r="D661" s="866" t="s">
        <v>17</v>
      </c>
      <c r="E661" s="868" t="s">
        <v>18</v>
      </c>
      <c r="F661" s="955" t="s">
        <v>19</v>
      </c>
      <c r="G661" s="956"/>
      <c r="H661" s="956"/>
      <c r="I661" s="957"/>
    </row>
    <row r="662" spans="1:9" ht="31.8" thickBot="1" x14ac:dyDescent="0.35">
      <c r="A662" s="863"/>
      <c r="B662" s="864"/>
      <c r="C662" s="952"/>
      <c r="D662" s="953"/>
      <c r="E662" s="954"/>
      <c r="F662" s="480" t="s">
        <v>20</v>
      </c>
      <c r="G662" s="480" t="s">
        <v>21</v>
      </c>
      <c r="H662" s="480" t="s">
        <v>22</v>
      </c>
      <c r="I662" s="14" t="s">
        <v>23</v>
      </c>
    </row>
    <row r="663" spans="1:9" ht="16.8" thickTop="1" thickBot="1" x14ac:dyDescent="0.35">
      <c r="A663" s="9"/>
      <c r="B663" s="9"/>
      <c r="C663" s="9"/>
      <c r="D663" s="513"/>
      <c r="E663" s="10"/>
      <c r="F663" s="9"/>
      <c r="G663" s="9"/>
      <c r="H663" s="9"/>
      <c r="I663" s="9"/>
    </row>
    <row r="664" spans="1:9" ht="16.2" thickTop="1" x14ac:dyDescent="0.3">
      <c r="A664" s="15" t="s">
        <v>32</v>
      </c>
      <c r="B664" s="11" t="s">
        <v>252</v>
      </c>
      <c r="C664" s="16" t="s">
        <v>90</v>
      </c>
      <c r="D664" s="515">
        <v>18.5</v>
      </c>
      <c r="E664" s="20">
        <f>+E460</f>
        <v>3958</v>
      </c>
      <c r="F664" s="17" t="str">
        <f t="shared" ref="F664:F674" si="188">IF(A664="MO",D664*E664,"")</f>
        <v/>
      </c>
      <c r="G664" s="17">
        <f t="shared" ref="G664:G674" si="189">IF(A664="MA",D664*E664,"")</f>
        <v>73223</v>
      </c>
      <c r="H664" s="17" t="str">
        <f t="shared" ref="H664:H674" si="190">IF(A664="HE",D664*E664,"")</f>
        <v/>
      </c>
      <c r="I664" s="18" t="str">
        <f t="shared" ref="I664:I674" si="191">IF(A664="OT",D664*E664,"")</f>
        <v/>
      </c>
    </row>
    <row r="665" spans="1:9" ht="15.6" x14ac:dyDescent="0.3">
      <c r="A665" s="19" t="s">
        <v>32</v>
      </c>
      <c r="B665" s="11" t="s">
        <v>253</v>
      </c>
      <c r="C665" s="16" t="s">
        <v>258</v>
      </c>
      <c r="D665" s="515">
        <v>0.55000000000000004</v>
      </c>
      <c r="E665" s="20">
        <f>+E458</f>
        <v>364530</v>
      </c>
      <c r="F665" s="21" t="str">
        <f t="shared" si="188"/>
        <v/>
      </c>
      <c r="G665" s="21">
        <f t="shared" si="189"/>
        <v>200491.50000000003</v>
      </c>
      <c r="H665" s="21" t="str">
        <f t="shared" si="190"/>
        <v/>
      </c>
      <c r="I665" s="22" t="str">
        <f t="shared" si="191"/>
        <v/>
      </c>
    </row>
    <row r="666" spans="1:9" ht="15.6" x14ac:dyDescent="0.3">
      <c r="A666" s="375" t="s">
        <v>29</v>
      </c>
      <c r="B666" s="377" t="s">
        <v>304</v>
      </c>
      <c r="C666" s="383" t="s">
        <v>289</v>
      </c>
      <c r="D666" s="520">
        <f>2.4*D665</f>
        <v>1.32</v>
      </c>
      <c r="E666" s="321">
        <f>+C990</f>
        <v>8250.6174612024897</v>
      </c>
      <c r="F666" s="322" t="str">
        <f>IF(A666="MO",D666*E666,"")</f>
        <v/>
      </c>
      <c r="G666" s="322" t="str">
        <f>IF(A666="MA",D666*E666,"")</f>
        <v/>
      </c>
      <c r="H666" s="322">
        <f>IF(A666="HE",D666*E666,"")</f>
        <v>10890.815048787286</v>
      </c>
      <c r="I666" s="323" t="str">
        <f>IF(A666="OT",D666*E666,"")</f>
        <v/>
      </c>
    </row>
    <row r="667" spans="1:9" ht="15.6" x14ac:dyDescent="0.3">
      <c r="A667" s="19" t="s">
        <v>24</v>
      </c>
      <c r="B667" s="11" t="s">
        <v>206</v>
      </c>
      <c r="C667" s="16" t="s">
        <v>36</v>
      </c>
      <c r="D667" s="515">
        <v>1.06</v>
      </c>
      <c r="E667" s="20">
        <f>+'M.O 2020'!B11</f>
        <v>236192</v>
      </c>
      <c r="F667" s="21">
        <f t="shared" si="188"/>
        <v>250363.52000000002</v>
      </c>
      <c r="G667" s="21" t="str">
        <f t="shared" si="189"/>
        <v/>
      </c>
      <c r="H667" s="21" t="str">
        <f t="shared" si="190"/>
        <v/>
      </c>
      <c r="I667" s="22" t="str">
        <f t="shared" si="191"/>
        <v/>
      </c>
    </row>
    <row r="668" spans="1:9" ht="15.75" customHeight="1" x14ac:dyDescent="0.3">
      <c r="A668" s="19" t="s">
        <v>32</v>
      </c>
      <c r="B668" s="11" t="s">
        <v>207</v>
      </c>
      <c r="C668" s="16" t="s">
        <v>208</v>
      </c>
      <c r="D668" s="514">
        <v>0.05</v>
      </c>
      <c r="E668" s="20">
        <f>+G664+G665+G670+G671+G672</f>
        <v>318103.5</v>
      </c>
      <c r="F668" s="21" t="str">
        <f t="shared" ref="F668:F672" si="192">IF(A668="MO",D668*E668,"")</f>
        <v/>
      </c>
      <c r="G668" s="21">
        <f t="shared" ref="G668:G672" si="193">IF(A668="MA",D668*E668,"")</f>
        <v>15905.175000000001</v>
      </c>
      <c r="H668" s="21" t="str">
        <f t="shared" ref="H668:H672" si="194">IF(A668="HE",D668*E668,"")</f>
        <v/>
      </c>
      <c r="I668" s="22" t="str">
        <f t="shared" ref="I668:I672" si="195">IF(A668="OT",D668*E668,"")</f>
        <v/>
      </c>
    </row>
    <row r="669" spans="1:9" ht="15.75" customHeight="1" x14ac:dyDescent="0.3">
      <c r="A669" s="19" t="s">
        <v>29</v>
      </c>
      <c r="B669" s="11" t="s">
        <v>115</v>
      </c>
      <c r="C669" s="16" t="s">
        <v>208</v>
      </c>
      <c r="D669" s="514">
        <v>0.05</v>
      </c>
      <c r="E669" s="20">
        <f>+F667</f>
        <v>250363.52000000002</v>
      </c>
      <c r="F669" s="21" t="str">
        <f t="shared" si="192"/>
        <v/>
      </c>
      <c r="G669" s="21" t="str">
        <f t="shared" si="193"/>
        <v/>
      </c>
      <c r="H669" s="21">
        <f t="shared" si="194"/>
        <v>12518.176000000001</v>
      </c>
      <c r="I669" s="22" t="str">
        <f t="shared" si="195"/>
        <v/>
      </c>
    </row>
    <row r="670" spans="1:9" ht="15.6" x14ac:dyDescent="0.3">
      <c r="A670" s="19" t="s">
        <v>32</v>
      </c>
      <c r="B670" s="11" t="s">
        <v>268</v>
      </c>
      <c r="C670" s="16" t="s">
        <v>205</v>
      </c>
      <c r="D670" s="515">
        <v>4</v>
      </c>
      <c r="E670" s="20">
        <v>4616</v>
      </c>
      <c r="F670" s="21" t="str">
        <f t="shared" si="192"/>
        <v/>
      </c>
      <c r="G670" s="21">
        <f t="shared" si="193"/>
        <v>18464</v>
      </c>
      <c r="H670" s="21" t="str">
        <f t="shared" si="194"/>
        <v/>
      </c>
      <c r="I670" s="22" t="str">
        <f t="shared" si="195"/>
        <v/>
      </c>
    </row>
    <row r="671" spans="1:9" ht="15.6" x14ac:dyDescent="0.3">
      <c r="A671" s="19" t="s">
        <v>32</v>
      </c>
      <c r="B671" s="11" t="s">
        <v>269</v>
      </c>
      <c r="C671" s="16" t="s">
        <v>205</v>
      </c>
      <c r="D671" s="515">
        <v>0.5</v>
      </c>
      <c r="E671" s="20">
        <v>2850</v>
      </c>
      <c r="F671" s="21" t="str">
        <f t="shared" si="192"/>
        <v/>
      </c>
      <c r="G671" s="21">
        <f t="shared" si="193"/>
        <v>1425</v>
      </c>
      <c r="H671" s="21" t="str">
        <f t="shared" si="194"/>
        <v/>
      </c>
      <c r="I671" s="22" t="str">
        <f t="shared" si="195"/>
        <v/>
      </c>
    </row>
    <row r="672" spans="1:9" ht="15.6" x14ac:dyDescent="0.3">
      <c r="A672" s="19" t="s">
        <v>32</v>
      </c>
      <c r="B672" s="11" t="s">
        <v>255</v>
      </c>
      <c r="C672" s="16" t="s">
        <v>205</v>
      </c>
      <c r="D672" s="515">
        <v>2.5</v>
      </c>
      <c r="E672" s="20">
        <v>9800</v>
      </c>
      <c r="F672" s="21" t="str">
        <f t="shared" si="192"/>
        <v/>
      </c>
      <c r="G672" s="21">
        <f t="shared" si="193"/>
        <v>24500</v>
      </c>
      <c r="H672" s="21" t="str">
        <f t="shared" si="194"/>
        <v/>
      </c>
      <c r="I672" s="22" t="str">
        <f t="shared" si="195"/>
        <v/>
      </c>
    </row>
    <row r="673" spans="1:9" ht="15.6" x14ac:dyDescent="0.3">
      <c r="A673" s="19" t="s">
        <v>24</v>
      </c>
      <c r="B673" s="11" t="s">
        <v>270</v>
      </c>
      <c r="C673" s="16" t="s">
        <v>210</v>
      </c>
      <c r="D673" s="515">
        <v>0.2</v>
      </c>
      <c r="E673" s="20">
        <v>40653</v>
      </c>
      <c r="F673" s="21"/>
      <c r="G673" s="21" t="str">
        <f t="shared" si="189"/>
        <v/>
      </c>
      <c r="H673" s="21">
        <f>+D673*E673</f>
        <v>8130.6</v>
      </c>
      <c r="I673" s="22" t="str">
        <f t="shared" si="191"/>
        <v/>
      </c>
    </row>
    <row r="674" spans="1:9" ht="15.75" customHeight="1" x14ac:dyDescent="0.3">
      <c r="A674" s="19"/>
      <c r="B674" s="488"/>
      <c r="C674" s="12"/>
      <c r="D674" s="523"/>
      <c r="E674" s="20"/>
      <c r="F674" s="21" t="str">
        <f t="shared" si="188"/>
        <v/>
      </c>
      <c r="G674" s="21" t="str">
        <f t="shared" si="189"/>
        <v/>
      </c>
      <c r="H674" s="21" t="str">
        <f t="shared" si="190"/>
        <v/>
      </c>
      <c r="I674" s="22" t="str">
        <f t="shared" si="191"/>
        <v/>
      </c>
    </row>
    <row r="675" spans="1:9" ht="16.2" thickBot="1" x14ac:dyDescent="0.35">
      <c r="A675" s="23"/>
      <c r="B675" s="24" t="s">
        <v>31</v>
      </c>
      <c r="C675" s="25">
        <f>ROUND(SUM(F675:I675),0)</f>
        <v>615912</v>
      </c>
      <c r="D675" s="516" t="str">
        <f>+C660</f>
        <v>Un</v>
      </c>
      <c r="E675" s="26"/>
      <c r="F675" s="27">
        <f>SUM(F664:F674)</f>
        <v>250363.52000000002</v>
      </c>
      <c r="G675" s="27">
        <f>SUM(G664:G674)</f>
        <v>334008.67499999999</v>
      </c>
      <c r="H675" s="27">
        <f>SUM(H664:H674)</f>
        <v>31539.59104878729</v>
      </c>
      <c r="I675" s="28">
        <f>SUM(I664:I674)</f>
        <v>0</v>
      </c>
    </row>
    <row r="676" spans="1:9" ht="15.6" thickTop="1" thickBot="1" x14ac:dyDescent="0.35"/>
    <row r="677" spans="1:9" ht="16.2" thickTop="1" x14ac:dyDescent="0.3">
      <c r="A677" s="917" t="s">
        <v>35</v>
      </c>
      <c r="B677" s="918"/>
      <c r="C677" s="919" t="s">
        <v>485</v>
      </c>
      <c r="D677" s="920"/>
      <c r="E677" s="920"/>
      <c r="F677" s="920"/>
      <c r="G677" s="920"/>
      <c r="H677" s="920"/>
      <c r="I677" s="921"/>
    </row>
    <row r="678" spans="1:9" ht="15.6" x14ac:dyDescent="0.3">
      <c r="A678" s="922" t="s">
        <v>12</v>
      </c>
      <c r="B678" s="923"/>
      <c r="C678" s="924" t="s">
        <v>486</v>
      </c>
      <c r="D678" s="925"/>
      <c r="E678" s="925"/>
      <c r="F678" s="925"/>
      <c r="G678" s="925"/>
      <c r="H678" s="925"/>
      <c r="I678" s="926"/>
    </row>
    <row r="679" spans="1:9" ht="15.6" x14ac:dyDescent="0.3">
      <c r="A679" s="922" t="s">
        <v>13</v>
      </c>
      <c r="B679" s="923"/>
      <c r="C679" s="924" t="s">
        <v>4</v>
      </c>
      <c r="D679" s="925"/>
      <c r="E679" s="925"/>
      <c r="F679" s="925"/>
      <c r="G679" s="925"/>
      <c r="H679" s="925"/>
      <c r="I679" s="926"/>
    </row>
    <row r="680" spans="1:9" ht="15.6" x14ac:dyDescent="0.3">
      <c r="A680" s="927" t="s">
        <v>14</v>
      </c>
      <c r="B680" s="929" t="s">
        <v>15</v>
      </c>
      <c r="C680" s="929" t="s">
        <v>16</v>
      </c>
      <c r="D680" s="932" t="s">
        <v>17</v>
      </c>
      <c r="E680" s="934" t="s">
        <v>18</v>
      </c>
      <c r="F680" s="936" t="s">
        <v>19</v>
      </c>
      <c r="G680" s="937"/>
      <c r="H680" s="937"/>
      <c r="I680" s="938"/>
    </row>
    <row r="681" spans="1:9" ht="15.75" customHeight="1" thickBot="1" x14ac:dyDescent="0.35">
      <c r="A681" s="928"/>
      <c r="B681" s="930"/>
      <c r="C681" s="931"/>
      <c r="D681" s="933"/>
      <c r="E681" s="935"/>
      <c r="F681" s="624" t="s">
        <v>20</v>
      </c>
      <c r="G681" s="624" t="s">
        <v>21</v>
      </c>
      <c r="H681" s="624" t="s">
        <v>22</v>
      </c>
      <c r="I681" s="670" t="s">
        <v>23</v>
      </c>
    </row>
    <row r="682" spans="1:9" ht="16.8" thickTop="1" thickBot="1" x14ac:dyDescent="0.35">
      <c r="A682" s="671"/>
      <c r="B682" s="672"/>
      <c r="C682" s="672"/>
      <c r="D682" s="673"/>
      <c r="E682" s="674"/>
      <c r="F682" s="672"/>
      <c r="G682" s="672"/>
      <c r="H682" s="672"/>
      <c r="I682" s="672"/>
    </row>
    <row r="683" spans="1:9" ht="15.75" customHeight="1" thickTop="1" x14ac:dyDescent="0.3">
      <c r="A683" s="675" t="s">
        <v>32</v>
      </c>
      <c r="B683" s="676" t="s">
        <v>838</v>
      </c>
      <c r="C683" s="677" t="s">
        <v>4</v>
      </c>
      <c r="D683" s="678">
        <v>1</v>
      </c>
      <c r="E683" s="679">
        <v>783.33333333333337</v>
      </c>
      <c r="F683" s="680" t="str">
        <f>IF(A683="MO",D683*E683,"")</f>
        <v/>
      </c>
      <c r="G683" s="680">
        <f>IF(A683="MA",D683*E683,"")</f>
        <v>783.33333333333337</v>
      </c>
      <c r="H683" s="680" t="str">
        <f>IF(A683="HE",D683*E683,"")</f>
        <v/>
      </c>
      <c r="I683" s="681" t="str">
        <f>IF(A683="OT",D683*E683,"")</f>
        <v/>
      </c>
    </row>
    <row r="684" spans="1:9" ht="15.6" x14ac:dyDescent="0.3">
      <c r="A684" s="682" t="s">
        <v>24</v>
      </c>
      <c r="B684" s="683" t="s">
        <v>227</v>
      </c>
      <c r="C684" s="684" t="s">
        <v>25</v>
      </c>
      <c r="D684" s="685">
        <v>1.2999999999999999E-2</v>
      </c>
      <c r="E684" s="606">
        <f>+'M.O 2020'!B4</f>
        <v>60848</v>
      </c>
      <c r="F684" s="686">
        <f>IF(A684="MO",D684*E684,"")</f>
        <v>791.024</v>
      </c>
      <c r="G684" s="686" t="str">
        <f>IF(A684="MA",D684*E684,"")</f>
        <v/>
      </c>
      <c r="H684" s="686" t="str">
        <f>IF(A684="HE",D684*E684,"")</f>
        <v/>
      </c>
      <c r="I684" s="687" t="str">
        <f>IF(A684="OT",D684*E684,"")</f>
        <v/>
      </c>
    </row>
    <row r="685" spans="1:9" ht="15.6" x14ac:dyDescent="0.3">
      <c r="A685" s="682" t="s">
        <v>32</v>
      </c>
      <c r="B685" s="603" t="s">
        <v>487</v>
      </c>
      <c r="C685" s="604" t="s">
        <v>113</v>
      </c>
      <c r="D685" s="605">
        <v>0.25</v>
      </c>
      <c r="E685" s="606">
        <f>272*1.1*1.041</f>
        <v>311.46720000000005</v>
      </c>
      <c r="F685" s="686" t="str">
        <f>IF(A685="MO",D685*E685,"")</f>
        <v/>
      </c>
      <c r="G685" s="686">
        <f>IF(A685="MA",D685*E685,"")</f>
        <v>77.866800000000012</v>
      </c>
      <c r="H685" s="686" t="str">
        <f>IF(A685="HE",D685*E685,"")</f>
        <v/>
      </c>
      <c r="I685" s="687" t="str">
        <f>IF(A685="OT",D685*E685,"")</f>
        <v/>
      </c>
    </row>
    <row r="686" spans="1:9" ht="15.6" x14ac:dyDescent="0.3">
      <c r="A686" s="682"/>
      <c r="B686" s="688"/>
      <c r="C686" s="684"/>
      <c r="D686" s="689"/>
      <c r="E686" s="690"/>
      <c r="F686" s="686" t="str">
        <f>IF(A686="MO",D686*E686,"")</f>
        <v/>
      </c>
      <c r="G686" s="686" t="str">
        <f>IF(A686="MA",D686*E686,"")</f>
        <v/>
      </c>
      <c r="H686" s="686" t="str">
        <f>IF(A686="HE",D686*E686,"")</f>
        <v/>
      </c>
      <c r="I686" s="687" t="str">
        <f>IF(A686="OT",D686*E686,"")</f>
        <v/>
      </c>
    </row>
    <row r="687" spans="1:9" ht="16.2" thickBot="1" x14ac:dyDescent="0.35">
      <c r="A687" s="691"/>
      <c r="B687" s="624" t="s">
        <v>31</v>
      </c>
      <c r="C687" s="692">
        <f>ROUND((SUM(F687:I687)),0)</f>
        <v>1652</v>
      </c>
      <c r="D687" s="626" t="str">
        <f>+C679</f>
        <v>m2</v>
      </c>
      <c r="E687" s="627"/>
      <c r="F687" s="693">
        <f>SUM(F683:F686)</f>
        <v>791.024</v>
      </c>
      <c r="G687" s="693">
        <f>SUM(G683:G686)</f>
        <v>861.20013333333338</v>
      </c>
      <c r="H687" s="693">
        <f>SUM(H683:H686)</f>
        <v>0</v>
      </c>
      <c r="I687" s="694">
        <f>SUM(I683:I686)</f>
        <v>0</v>
      </c>
    </row>
    <row r="688" spans="1:9" ht="15.6" thickTop="1" thickBot="1" x14ac:dyDescent="0.35">
      <c r="A688" s="695"/>
      <c r="B688" s="695"/>
      <c r="C688" s="695"/>
      <c r="D688" s="696"/>
      <c r="E688" s="697"/>
      <c r="F688" s="695"/>
      <c r="G688" s="695"/>
      <c r="H688" s="695"/>
      <c r="I688" s="695"/>
    </row>
    <row r="689" spans="1:9" ht="31.5" customHeight="1" thickTop="1" x14ac:dyDescent="0.3">
      <c r="A689" s="870" t="s">
        <v>35</v>
      </c>
      <c r="B689" s="871"/>
      <c r="C689" s="872" t="s">
        <v>72</v>
      </c>
      <c r="D689" s="873"/>
      <c r="E689" s="873"/>
      <c r="F689" s="873"/>
      <c r="G689" s="873"/>
      <c r="H689" s="873"/>
      <c r="I689" s="874"/>
    </row>
    <row r="690" spans="1:9" ht="42.75" customHeight="1" x14ac:dyDescent="0.3">
      <c r="A690" s="875" t="s">
        <v>12</v>
      </c>
      <c r="B690" s="876"/>
      <c r="C690" s="877" t="s">
        <v>506</v>
      </c>
      <c r="D690" s="878"/>
      <c r="E690" s="878"/>
      <c r="F690" s="878"/>
      <c r="G690" s="878"/>
      <c r="H690" s="878"/>
      <c r="I690" s="879"/>
    </row>
    <row r="691" spans="1:9" ht="15.6" x14ac:dyDescent="0.3">
      <c r="A691" s="875" t="s">
        <v>13</v>
      </c>
      <c r="B691" s="876"/>
      <c r="C691" s="877" t="s">
        <v>7</v>
      </c>
      <c r="D691" s="878"/>
      <c r="E691" s="878"/>
      <c r="F691" s="878"/>
      <c r="G691" s="878"/>
      <c r="H691" s="878"/>
      <c r="I691" s="879"/>
    </row>
    <row r="692" spans="1:9" ht="15.6" x14ac:dyDescent="0.3">
      <c r="A692" s="880" t="s">
        <v>14</v>
      </c>
      <c r="B692" s="882" t="s">
        <v>15</v>
      </c>
      <c r="C692" s="883" t="s">
        <v>16</v>
      </c>
      <c r="D692" s="885" t="s">
        <v>17</v>
      </c>
      <c r="E692" s="887" t="s">
        <v>18</v>
      </c>
      <c r="F692" s="889" t="s">
        <v>19</v>
      </c>
      <c r="G692" s="890"/>
      <c r="H692" s="890"/>
      <c r="I692" s="891"/>
    </row>
    <row r="693" spans="1:9" ht="31.8" thickBot="1" x14ac:dyDescent="0.35">
      <c r="A693" s="881"/>
      <c r="B693" s="883"/>
      <c r="C693" s="884"/>
      <c r="D693" s="886"/>
      <c r="E693" s="888"/>
      <c r="F693" s="481" t="s">
        <v>20</v>
      </c>
      <c r="G693" s="481" t="s">
        <v>21</v>
      </c>
      <c r="H693" s="481" t="s">
        <v>22</v>
      </c>
      <c r="I693" s="362" t="s">
        <v>23</v>
      </c>
    </row>
    <row r="694" spans="1:9" ht="16.8" thickTop="1" thickBot="1" x14ac:dyDescent="0.35">
      <c r="A694" s="380"/>
      <c r="B694" s="380"/>
      <c r="C694" s="380"/>
      <c r="D694" s="518"/>
      <c r="E694" s="381"/>
      <c r="F694" s="380"/>
      <c r="G694" s="380"/>
      <c r="H694" s="380"/>
      <c r="I694" s="380"/>
    </row>
    <row r="695" spans="1:9" ht="16.2" thickTop="1" x14ac:dyDescent="0.3">
      <c r="A695" s="375" t="s">
        <v>29</v>
      </c>
      <c r="B695" s="349" t="s">
        <v>507</v>
      </c>
      <c r="C695" s="383" t="s">
        <v>36</v>
      </c>
      <c r="D695" s="412">
        <f>1/6.85*2</f>
        <v>0.29197080291970806</v>
      </c>
      <c r="E695" s="321">
        <f>50000*1.19</f>
        <v>59500</v>
      </c>
      <c r="F695" s="322" t="str">
        <f t="shared" ref="F695:F719" si="196">IF(A695="MO",D695*E695,"")</f>
        <v/>
      </c>
      <c r="G695" s="322" t="str">
        <f t="shared" ref="G695:G719" si="197">IF(A695="MA",D695*E695,"")</f>
        <v/>
      </c>
      <c r="H695" s="322">
        <f t="shared" ref="H695:H719" si="198">IF(A695="HE",D695*E695,"")</f>
        <v>17372.262773722628</v>
      </c>
      <c r="I695" s="323" t="str">
        <f t="shared" ref="I695:I719" si="199">IF(A695="OT",D695*E695,"")</f>
        <v/>
      </c>
    </row>
    <row r="696" spans="1:9" ht="31.2" x14ac:dyDescent="0.3">
      <c r="A696" s="375" t="s">
        <v>29</v>
      </c>
      <c r="B696" s="349" t="s">
        <v>508</v>
      </c>
      <c r="C696" s="383" t="s">
        <v>36</v>
      </c>
      <c r="D696" s="412">
        <f t="shared" ref="D696" si="200">1/6.85</f>
        <v>0.14598540145985403</v>
      </c>
      <c r="E696" s="321">
        <f>80000*8*1.19</f>
        <v>761600</v>
      </c>
      <c r="F696" s="322" t="str">
        <f t="shared" si="196"/>
        <v/>
      </c>
      <c r="G696" s="322" t="str">
        <f t="shared" si="197"/>
        <v/>
      </c>
      <c r="H696" s="322">
        <f t="shared" si="198"/>
        <v>111182.48175182483</v>
      </c>
      <c r="I696" s="323" t="str">
        <f t="shared" si="199"/>
        <v/>
      </c>
    </row>
    <row r="697" spans="1:9" ht="15.75" customHeight="1" x14ac:dyDescent="0.3">
      <c r="A697" s="375" t="s">
        <v>29</v>
      </c>
      <c r="B697" s="349" t="s">
        <v>509</v>
      </c>
      <c r="C697" s="383" t="s">
        <v>36</v>
      </c>
      <c r="D697" s="412">
        <f>1/6.85</f>
        <v>0.14598540145985403</v>
      </c>
      <c r="E697" s="321">
        <f>66650*1.19</f>
        <v>79313.5</v>
      </c>
      <c r="F697" s="322" t="str">
        <f t="shared" si="196"/>
        <v/>
      </c>
      <c r="G697" s="322" t="str">
        <f t="shared" si="197"/>
        <v/>
      </c>
      <c r="H697" s="322">
        <f t="shared" si="198"/>
        <v>11578.613138686133</v>
      </c>
      <c r="I697" s="323" t="str">
        <f t="shared" si="199"/>
        <v/>
      </c>
    </row>
    <row r="698" spans="1:9" ht="15.6" x14ac:dyDescent="0.3">
      <c r="A698" s="375" t="s">
        <v>29</v>
      </c>
      <c r="B698" s="349" t="s">
        <v>510</v>
      </c>
      <c r="C698" s="383" t="s">
        <v>36</v>
      </c>
      <c r="D698" s="412">
        <f t="shared" ref="D698:D699" si="201">1/6.85</f>
        <v>0.14598540145985403</v>
      </c>
      <c r="E698" s="321">
        <f>+'especiales '!D91</f>
        <v>170337.8</v>
      </c>
      <c r="F698" s="322" t="str">
        <f t="shared" si="196"/>
        <v/>
      </c>
      <c r="G698" s="322" t="str">
        <f t="shared" si="197"/>
        <v/>
      </c>
      <c r="H698" s="322">
        <f t="shared" si="198"/>
        <v>24866.832116788322</v>
      </c>
      <c r="I698" s="323" t="str">
        <f t="shared" si="199"/>
        <v/>
      </c>
    </row>
    <row r="699" spans="1:9" ht="31.5" customHeight="1" x14ac:dyDescent="0.3">
      <c r="A699" s="375" t="s">
        <v>29</v>
      </c>
      <c r="B699" s="349" t="s">
        <v>511</v>
      </c>
      <c r="C699" s="383" t="s">
        <v>36</v>
      </c>
      <c r="D699" s="412">
        <f t="shared" si="201"/>
        <v>0.14598540145985403</v>
      </c>
      <c r="E699" s="321">
        <f>+'especiales '!D92</f>
        <v>26615.3</v>
      </c>
      <c r="F699" s="322" t="str">
        <f t="shared" si="196"/>
        <v/>
      </c>
      <c r="G699" s="322" t="str">
        <f t="shared" si="197"/>
        <v/>
      </c>
      <c r="H699" s="322">
        <f t="shared" si="198"/>
        <v>3885.445255474453</v>
      </c>
      <c r="I699" s="323" t="str">
        <f t="shared" si="199"/>
        <v/>
      </c>
    </row>
    <row r="700" spans="1:9" ht="15.6" x14ac:dyDescent="0.3">
      <c r="A700" s="375" t="s">
        <v>29</v>
      </c>
      <c r="B700" s="349" t="s">
        <v>44</v>
      </c>
      <c r="C700" s="383" t="s">
        <v>73</v>
      </c>
      <c r="D700" s="412">
        <v>0.1</v>
      </c>
      <c r="E700" s="321">
        <f>F720</f>
        <v>136271.55839416062</v>
      </c>
      <c r="F700" s="322" t="str">
        <f t="shared" si="196"/>
        <v/>
      </c>
      <c r="G700" s="322" t="str">
        <f t="shared" si="197"/>
        <v/>
      </c>
      <c r="H700" s="322">
        <f t="shared" si="198"/>
        <v>13627.155839416062</v>
      </c>
      <c r="I700" s="323" t="str">
        <f t="shared" si="199"/>
        <v/>
      </c>
    </row>
    <row r="701" spans="1:9" ht="31.2" x14ac:dyDescent="0.3">
      <c r="A701" s="350" t="s">
        <v>32</v>
      </c>
      <c r="B701" s="349" t="s">
        <v>193</v>
      </c>
      <c r="C701" s="351" t="s">
        <v>5</v>
      </c>
      <c r="D701" s="412">
        <f>2*0.0748024162841232</f>
        <v>0.14960483256824639</v>
      </c>
      <c r="E701" s="321">
        <f>+'especiales '!D93</f>
        <v>21797.9</v>
      </c>
      <c r="F701" s="322" t="str">
        <f t="shared" si="196"/>
        <v/>
      </c>
      <c r="G701" s="322">
        <f t="shared" si="197"/>
        <v>3261.0711798393781</v>
      </c>
      <c r="H701" s="322" t="str">
        <f t="shared" si="198"/>
        <v/>
      </c>
      <c r="I701" s="323" t="str">
        <f t="shared" si="199"/>
        <v/>
      </c>
    </row>
    <row r="702" spans="1:9" ht="15.6" x14ac:dyDescent="0.3">
      <c r="A702" s="350" t="s">
        <v>32</v>
      </c>
      <c r="B702" s="349" t="s">
        <v>45</v>
      </c>
      <c r="C702" s="351" t="s">
        <v>5</v>
      </c>
      <c r="D702" s="412">
        <v>4.5834813899585285E-3</v>
      </c>
      <c r="E702" s="321">
        <f>+'especiales '!D94</f>
        <v>41173.800000000003</v>
      </c>
      <c r="F702" s="322" t="str">
        <f t="shared" si="196"/>
        <v/>
      </c>
      <c r="G702" s="322">
        <f t="shared" si="197"/>
        <v>188.71934605387446</v>
      </c>
      <c r="H702" s="322" t="str">
        <f t="shared" si="198"/>
        <v/>
      </c>
      <c r="I702" s="323" t="str">
        <f t="shared" si="199"/>
        <v/>
      </c>
    </row>
    <row r="703" spans="1:9" ht="15.6" x14ac:dyDescent="0.3">
      <c r="A703" s="350" t="s">
        <v>32</v>
      </c>
      <c r="B703" s="349" t="s">
        <v>46</v>
      </c>
      <c r="C703" s="351" t="s">
        <v>5</v>
      </c>
      <c r="D703" s="412">
        <v>7.4802416284123194E-2</v>
      </c>
      <c r="E703" s="321">
        <f>+'especiales '!D95</f>
        <v>17922.7</v>
      </c>
      <c r="F703" s="322" t="str">
        <f t="shared" si="196"/>
        <v/>
      </c>
      <c r="G703" s="322">
        <f t="shared" si="197"/>
        <v>1340.6612663354549</v>
      </c>
      <c r="H703" s="322" t="str">
        <f t="shared" si="198"/>
        <v/>
      </c>
      <c r="I703" s="323" t="str">
        <f t="shared" si="199"/>
        <v/>
      </c>
    </row>
    <row r="704" spans="1:9" ht="15.6" x14ac:dyDescent="0.3">
      <c r="A704" s="350" t="s">
        <v>32</v>
      </c>
      <c r="B704" s="349" t="s">
        <v>512</v>
      </c>
      <c r="C704" s="351" t="s">
        <v>36</v>
      </c>
      <c r="D704" s="412">
        <f>1/6.85</f>
        <v>0.14598540145985403</v>
      </c>
      <c r="E704" s="321">
        <f>+'especiales '!D96</f>
        <v>63344.4</v>
      </c>
      <c r="F704" s="322" t="str">
        <f t="shared" si="196"/>
        <v/>
      </c>
      <c r="G704" s="322">
        <f t="shared" si="197"/>
        <v>9247.3576642335775</v>
      </c>
      <c r="H704" s="322" t="str">
        <f t="shared" si="198"/>
        <v/>
      </c>
      <c r="I704" s="323" t="str">
        <f t="shared" si="199"/>
        <v/>
      </c>
    </row>
    <row r="705" spans="1:9" ht="15.6" x14ac:dyDescent="0.3">
      <c r="A705" s="350" t="s">
        <v>32</v>
      </c>
      <c r="B705" s="349" t="s">
        <v>47</v>
      </c>
      <c r="C705" s="351" t="s">
        <v>5</v>
      </c>
      <c r="D705" s="412">
        <v>3.7401208142061597E-2</v>
      </c>
      <c r="E705" s="321">
        <f>+'especiales '!D97</f>
        <v>63751.6</v>
      </c>
      <c r="F705" s="322" t="str">
        <f t="shared" si="196"/>
        <v/>
      </c>
      <c r="G705" s="322">
        <f t="shared" si="197"/>
        <v>2384.3868609894539</v>
      </c>
      <c r="H705" s="322" t="str">
        <f t="shared" si="198"/>
        <v/>
      </c>
      <c r="I705" s="323" t="str">
        <f t="shared" si="199"/>
        <v/>
      </c>
    </row>
    <row r="706" spans="1:9" ht="15.6" x14ac:dyDescent="0.3">
      <c r="A706" s="350" t="s">
        <v>32</v>
      </c>
      <c r="B706" s="349" t="s">
        <v>41</v>
      </c>
      <c r="C706" s="351" t="s">
        <v>48</v>
      </c>
      <c r="D706" s="412">
        <v>3.3001066007701412</v>
      </c>
      <c r="E706" s="321">
        <v>8923</v>
      </c>
      <c r="F706" s="322" t="str">
        <f t="shared" si="196"/>
        <v/>
      </c>
      <c r="G706" s="322">
        <f t="shared" si="197"/>
        <v>29446.851198671971</v>
      </c>
      <c r="H706" s="322" t="str">
        <f t="shared" si="198"/>
        <v/>
      </c>
      <c r="I706" s="323" t="str">
        <f t="shared" si="199"/>
        <v/>
      </c>
    </row>
    <row r="707" spans="1:9" ht="15.6" x14ac:dyDescent="0.3">
      <c r="A707" s="350" t="s">
        <v>32</v>
      </c>
      <c r="B707" s="349" t="s">
        <v>74</v>
      </c>
      <c r="C707" s="351" t="s">
        <v>48</v>
      </c>
      <c r="D707" s="412">
        <v>2</v>
      </c>
      <c r="E707" s="321">
        <v>9100</v>
      </c>
      <c r="F707" s="322" t="str">
        <f t="shared" si="196"/>
        <v/>
      </c>
      <c r="G707" s="322">
        <f t="shared" si="197"/>
        <v>18200</v>
      </c>
      <c r="H707" s="322" t="str">
        <f t="shared" si="198"/>
        <v/>
      </c>
      <c r="I707" s="323" t="str">
        <f t="shared" si="199"/>
        <v/>
      </c>
    </row>
    <row r="708" spans="1:9" ht="15.6" x14ac:dyDescent="0.3">
      <c r="A708" s="350" t="s">
        <v>32</v>
      </c>
      <c r="B708" s="349" t="s">
        <v>75</v>
      </c>
      <c r="C708" s="351" t="s">
        <v>48</v>
      </c>
      <c r="D708" s="412">
        <f>0.5*0.330010660077014</f>
        <v>0.16500533003850701</v>
      </c>
      <c r="E708" s="321">
        <f>+'especiales '!D98</f>
        <v>33907.9</v>
      </c>
      <c r="F708" s="322" t="str">
        <f t="shared" si="196"/>
        <v/>
      </c>
      <c r="G708" s="322">
        <f t="shared" si="197"/>
        <v>5594.9842304126923</v>
      </c>
      <c r="H708" s="322" t="str">
        <f t="shared" si="198"/>
        <v/>
      </c>
      <c r="I708" s="323" t="str">
        <f t="shared" si="199"/>
        <v/>
      </c>
    </row>
    <row r="709" spans="1:9" ht="15.6" x14ac:dyDescent="0.3">
      <c r="A709" s="350" t="s">
        <v>32</v>
      </c>
      <c r="B709" s="349" t="s">
        <v>59</v>
      </c>
      <c r="C709" s="351" t="s">
        <v>5</v>
      </c>
      <c r="D709" s="412">
        <v>3.7401208142061597E-2</v>
      </c>
      <c r="E709" s="321">
        <f>+'especiales '!D99</f>
        <v>63407.7</v>
      </c>
      <c r="F709" s="322" t="str">
        <f t="shared" si="196"/>
        <v/>
      </c>
      <c r="G709" s="322">
        <f t="shared" si="197"/>
        <v>2371.524585509399</v>
      </c>
      <c r="H709" s="322" t="str">
        <f t="shared" si="198"/>
        <v/>
      </c>
      <c r="I709" s="323" t="str">
        <f t="shared" si="199"/>
        <v/>
      </c>
    </row>
    <row r="710" spans="1:9" ht="39" customHeight="1" x14ac:dyDescent="0.3">
      <c r="A710" s="350" t="s">
        <v>32</v>
      </c>
      <c r="B710" s="349" t="s">
        <v>68</v>
      </c>
      <c r="C710" s="351" t="s">
        <v>69</v>
      </c>
      <c r="D710" s="412">
        <v>3.7401208142061597E-2</v>
      </c>
      <c r="E710" s="321">
        <f>+'especiales '!D100</f>
        <v>114852.7</v>
      </c>
      <c r="F710" s="322" t="str">
        <f t="shared" si="196"/>
        <v/>
      </c>
      <c r="G710" s="322">
        <f t="shared" si="197"/>
        <v>4295.6297383777583</v>
      </c>
      <c r="H710" s="322" t="str">
        <f t="shared" si="198"/>
        <v/>
      </c>
      <c r="I710" s="323" t="str">
        <f t="shared" si="199"/>
        <v/>
      </c>
    </row>
    <row r="711" spans="1:9" ht="31.2" x14ac:dyDescent="0.3">
      <c r="A711" s="350" t="s">
        <v>32</v>
      </c>
      <c r="B711" s="349" t="s">
        <v>513</v>
      </c>
      <c r="C711" s="351" t="s">
        <v>36</v>
      </c>
      <c r="D711" s="412">
        <v>1</v>
      </c>
      <c r="E711" s="321">
        <f>+'especiales '!D101</f>
        <v>7601.3</v>
      </c>
      <c r="F711" s="322" t="str">
        <f t="shared" si="196"/>
        <v/>
      </c>
      <c r="G711" s="322">
        <f t="shared" si="197"/>
        <v>7601.3</v>
      </c>
      <c r="H711" s="322" t="str">
        <f t="shared" si="198"/>
        <v/>
      </c>
      <c r="I711" s="323" t="str">
        <f t="shared" si="199"/>
        <v/>
      </c>
    </row>
    <row r="712" spans="1:9" ht="15.6" x14ac:dyDescent="0.3">
      <c r="A712" s="350" t="s">
        <v>24</v>
      </c>
      <c r="B712" s="349" t="s">
        <v>194</v>
      </c>
      <c r="C712" s="351" t="s">
        <v>36</v>
      </c>
      <c r="D712" s="412">
        <f t="shared" ref="D712:D717" si="202">1/6.85</f>
        <v>0.14598540145985403</v>
      </c>
      <c r="E712" s="321">
        <f>+'especiales '!D102</f>
        <v>217587.9</v>
      </c>
      <c r="F712" s="322">
        <f t="shared" si="196"/>
        <v>31764.656934306571</v>
      </c>
      <c r="G712" s="322" t="str">
        <f t="shared" si="197"/>
        <v/>
      </c>
      <c r="H712" s="322" t="str">
        <f t="shared" si="198"/>
        <v/>
      </c>
      <c r="I712" s="323" t="str">
        <f t="shared" si="199"/>
        <v/>
      </c>
    </row>
    <row r="713" spans="1:9" ht="15.6" x14ac:dyDescent="0.3">
      <c r="A713" s="350" t="s">
        <v>24</v>
      </c>
      <c r="B713" s="349" t="s">
        <v>76</v>
      </c>
      <c r="C713" s="351" t="s">
        <v>36</v>
      </c>
      <c r="D713" s="412">
        <f t="shared" si="202"/>
        <v>0.14598540145985403</v>
      </c>
      <c r="E713" s="321">
        <f>+'especiales '!D103</f>
        <v>96499.7</v>
      </c>
      <c r="F713" s="322">
        <f t="shared" si="196"/>
        <v>14087.547445255475</v>
      </c>
      <c r="G713" s="322" t="str">
        <f t="shared" si="197"/>
        <v/>
      </c>
      <c r="H713" s="322" t="str">
        <f t="shared" si="198"/>
        <v/>
      </c>
      <c r="I713" s="323" t="str">
        <f t="shared" si="199"/>
        <v/>
      </c>
    </row>
    <row r="714" spans="1:9" ht="15.75" customHeight="1" x14ac:dyDescent="0.3">
      <c r="A714" s="350" t="s">
        <v>24</v>
      </c>
      <c r="B714" s="349" t="s">
        <v>60</v>
      </c>
      <c r="C714" s="351" t="s">
        <v>36</v>
      </c>
      <c r="D714" s="412">
        <f t="shared" si="202"/>
        <v>0.14598540145985403</v>
      </c>
      <c r="E714" s="321">
        <f>+'especiales '!D104</f>
        <v>150988.9</v>
      </c>
      <c r="F714" s="322">
        <f t="shared" si="196"/>
        <v>22042.175182481755</v>
      </c>
      <c r="G714" s="322" t="str">
        <f t="shared" si="197"/>
        <v/>
      </c>
      <c r="H714" s="322" t="str">
        <f t="shared" si="198"/>
        <v/>
      </c>
      <c r="I714" s="323" t="str">
        <f t="shared" si="199"/>
        <v/>
      </c>
    </row>
    <row r="715" spans="1:9" ht="17.25" customHeight="1" x14ac:dyDescent="0.3">
      <c r="A715" s="350" t="s">
        <v>24</v>
      </c>
      <c r="B715" s="349" t="s">
        <v>53</v>
      </c>
      <c r="C715" s="351" t="s">
        <v>36</v>
      </c>
      <c r="D715" s="412">
        <f t="shared" si="202"/>
        <v>0.14598540145985403</v>
      </c>
      <c r="E715" s="321">
        <f>+'especiales '!D105</f>
        <v>129829.1</v>
      </c>
      <c r="F715" s="322">
        <f t="shared" si="196"/>
        <v>18953.153284671534</v>
      </c>
      <c r="G715" s="322" t="str">
        <f t="shared" si="197"/>
        <v/>
      </c>
      <c r="H715" s="322" t="str">
        <f t="shared" si="198"/>
        <v/>
      </c>
      <c r="I715" s="323" t="str">
        <f t="shared" si="199"/>
        <v/>
      </c>
    </row>
    <row r="716" spans="1:9" ht="15.6" x14ac:dyDescent="0.3">
      <c r="A716" s="350" t="s">
        <v>24</v>
      </c>
      <c r="B716" s="349" t="s">
        <v>54</v>
      </c>
      <c r="C716" s="351" t="s">
        <v>36</v>
      </c>
      <c r="D716" s="412">
        <f t="shared" si="202"/>
        <v>0.14598540145985403</v>
      </c>
      <c r="E716" s="321">
        <f>+'especiales '!D106</f>
        <v>150988.9</v>
      </c>
      <c r="F716" s="322">
        <f t="shared" si="196"/>
        <v>22042.175182481755</v>
      </c>
      <c r="G716" s="322" t="str">
        <f t="shared" si="197"/>
        <v/>
      </c>
      <c r="H716" s="322" t="str">
        <f t="shared" si="198"/>
        <v/>
      </c>
      <c r="I716" s="323" t="str">
        <f t="shared" si="199"/>
        <v/>
      </c>
    </row>
    <row r="717" spans="1:9" ht="15.6" x14ac:dyDescent="0.3">
      <c r="A717" s="350" t="s">
        <v>24</v>
      </c>
      <c r="B717" s="349" t="s">
        <v>55</v>
      </c>
      <c r="C717" s="351" t="s">
        <v>36</v>
      </c>
      <c r="D717" s="412">
        <f t="shared" si="202"/>
        <v>0.14598540145985403</v>
      </c>
      <c r="E717" s="321">
        <f>+'especiales '!D107</f>
        <v>150988.9</v>
      </c>
      <c r="F717" s="322">
        <f t="shared" si="196"/>
        <v>22042.175182481755</v>
      </c>
      <c r="G717" s="322" t="str">
        <f t="shared" si="197"/>
        <v/>
      </c>
      <c r="H717" s="322" t="str">
        <f t="shared" si="198"/>
        <v/>
      </c>
      <c r="I717" s="323" t="str">
        <f t="shared" si="199"/>
        <v/>
      </c>
    </row>
    <row r="718" spans="1:9" ht="15" customHeight="1" x14ac:dyDescent="0.3">
      <c r="A718" s="350" t="s">
        <v>24</v>
      </c>
      <c r="B718" s="349" t="s">
        <v>77</v>
      </c>
      <c r="C718" s="351" t="s">
        <v>36</v>
      </c>
      <c r="D718" s="412">
        <f>1/6.85/4</f>
        <v>3.6496350364963508E-2</v>
      </c>
      <c r="E718" s="321">
        <f>+'especiales '!D108</f>
        <v>146307.1</v>
      </c>
      <c r="F718" s="322">
        <f t="shared" si="196"/>
        <v>5339.6751824817529</v>
      </c>
      <c r="G718" s="322" t="str">
        <f t="shared" si="197"/>
        <v/>
      </c>
      <c r="H718" s="322" t="str">
        <f t="shared" si="198"/>
        <v/>
      </c>
      <c r="I718" s="323" t="str">
        <f t="shared" si="199"/>
        <v/>
      </c>
    </row>
    <row r="719" spans="1:9" ht="15.6" x14ac:dyDescent="0.3">
      <c r="A719" s="350"/>
      <c r="B719" s="319"/>
      <c r="C719" s="351"/>
      <c r="D719" s="412"/>
      <c r="E719" s="321"/>
      <c r="F719" s="322" t="str">
        <f t="shared" si="196"/>
        <v/>
      </c>
      <c r="G719" s="322" t="str">
        <f t="shared" si="197"/>
        <v/>
      </c>
      <c r="H719" s="322" t="str">
        <f t="shared" si="198"/>
        <v/>
      </c>
      <c r="I719" s="323" t="str">
        <f t="shared" si="199"/>
        <v/>
      </c>
    </row>
    <row r="720" spans="1:9" ht="16.2" thickBot="1" x14ac:dyDescent="0.35">
      <c r="A720" s="342"/>
      <c r="B720" s="343" t="s">
        <v>31</v>
      </c>
      <c r="C720" s="344">
        <f>ROUND(SUM(F720:I720),0)</f>
        <v>402717</v>
      </c>
      <c r="D720" s="522" t="str">
        <f>+C691</f>
        <v>m3</v>
      </c>
      <c r="E720" s="345"/>
      <c r="F720" s="346">
        <f>SUM(F695:F719)</f>
        <v>136271.55839416062</v>
      </c>
      <c r="G720" s="346">
        <f>SUM(G695:G719)</f>
        <v>83932.486070423562</v>
      </c>
      <c r="H720" s="346">
        <f>SUM(H695:H719)</f>
        <v>182512.79087591241</v>
      </c>
      <c r="I720" s="352">
        <f>SUM(I695:I719)</f>
        <v>0</v>
      </c>
    </row>
    <row r="721" spans="1:9" ht="16.8" thickTop="1" thickBot="1" x14ac:dyDescent="0.35">
      <c r="A721" s="250"/>
      <c r="B721" s="250"/>
      <c r="C721" s="251"/>
      <c r="D721" s="252"/>
      <c r="E721" s="253"/>
      <c r="F721" s="254"/>
      <c r="G721" s="254"/>
      <c r="H721" s="254"/>
      <c r="I721" s="254"/>
    </row>
    <row r="722" spans="1:9" ht="15.75" customHeight="1" thickTop="1" x14ac:dyDescent="0.3">
      <c r="A722" s="854" t="s">
        <v>39</v>
      </c>
      <c r="B722" s="855"/>
      <c r="C722" s="856" t="s">
        <v>87</v>
      </c>
      <c r="D722" s="856"/>
      <c r="E722" s="856"/>
      <c r="F722" s="856"/>
      <c r="G722" s="856"/>
      <c r="H722" s="856"/>
      <c r="I722" s="857"/>
    </row>
    <row r="723" spans="1:9" ht="15.6" x14ac:dyDescent="0.3">
      <c r="A723" s="858" t="s">
        <v>12</v>
      </c>
      <c r="B723" s="859"/>
      <c r="C723" s="860" t="s">
        <v>95</v>
      </c>
      <c r="D723" s="860"/>
      <c r="E723" s="860"/>
      <c r="F723" s="860"/>
      <c r="G723" s="860"/>
      <c r="H723" s="860"/>
      <c r="I723" s="861"/>
    </row>
    <row r="724" spans="1:9" ht="15.6" x14ac:dyDescent="0.3">
      <c r="A724" s="858" t="s">
        <v>13</v>
      </c>
      <c r="B724" s="859"/>
      <c r="C724" s="860" t="s">
        <v>7</v>
      </c>
      <c r="D724" s="860"/>
      <c r="E724" s="860"/>
      <c r="F724" s="860"/>
      <c r="G724" s="860"/>
      <c r="H724" s="860"/>
      <c r="I724" s="861"/>
    </row>
    <row r="725" spans="1:9" ht="15.6" x14ac:dyDescent="0.3">
      <c r="A725" s="862" t="s">
        <v>14</v>
      </c>
      <c r="B725" s="848" t="s">
        <v>15</v>
      </c>
      <c r="C725" s="848" t="s">
        <v>16</v>
      </c>
      <c r="D725" s="865" t="s">
        <v>17</v>
      </c>
      <c r="E725" s="867" t="s">
        <v>18</v>
      </c>
      <c r="F725" s="848" t="s">
        <v>19</v>
      </c>
      <c r="G725" s="848"/>
      <c r="H725" s="848"/>
      <c r="I725" s="869"/>
    </row>
    <row r="726" spans="1:9" ht="15.75" customHeight="1" thickBot="1" x14ac:dyDescent="0.35">
      <c r="A726" s="863"/>
      <c r="B726" s="864"/>
      <c r="C726" s="864"/>
      <c r="D726" s="866"/>
      <c r="E726" s="868"/>
      <c r="F726" s="480" t="s">
        <v>20</v>
      </c>
      <c r="G726" s="480" t="s">
        <v>21</v>
      </c>
      <c r="H726" s="480" t="s">
        <v>22</v>
      </c>
      <c r="I726" s="14" t="s">
        <v>23</v>
      </c>
    </row>
    <row r="727" spans="1:9" ht="16.8" thickTop="1" thickBot="1" x14ac:dyDescent="0.35">
      <c r="A727" s="9"/>
      <c r="B727" s="9"/>
      <c r="C727" s="9"/>
      <c r="D727" s="513"/>
      <c r="E727" s="10"/>
      <c r="F727" s="9"/>
      <c r="G727" s="9"/>
      <c r="H727" s="9"/>
      <c r="I727" s="9"/>
    </row>
    <row r="728" spans="1:9" ht="16.2" thickTop="1" x14ac:dyDescent="0.3">
      <c r="A728" s="19" t="s">
        <v>32</v>
      </c>
      <c r="B728" s="13" t="s">
        <v>88</v>
      </c>
      <c r="C728" s="12" t="s">
        <v>16</v>
      </c>
      <c r="D728" s="523">
        <v>15</v>
      </c>
      <c r="E728" s="20">
        <v>400</v>
      </c>
      <c r="F728" s="21" t="str">
        <f t="shared" ref="F728:F734" si="203">IF(A728="MO",D728*E728,"")</f>
        <v/>
      </c>
      <c r="G728" s="21">
        <f t="shared" ref="G728:G734" si="204">IF(A728="MA",D728*E728,"")</f>
        <v>6000</v>
      </c>
      <c r="H728" s="21" t="str">
        <f t="shared" ref="H728:H734" si="205">IF(A728="HE",D728*E728,"")</f>
        <v/>
      </c>
      <c r="I728" s="22" t="str">
        <f t="shared" ref="I728:I734" si="206">IF(A728="OT",D728*E728,"")</f>
        <v/>
      </c>
    </row>
    <row r="729" spans="1:9" ht="15.6" x14ac:dyDescent="0.3">
      <c r="A729" s="19" t="s">
        <v>32</v>
      </c>
      <c r="B729" s="13" t="s">
        <v>89</v>
      </c>
      <c r="C729" s="12" t="s">
        <v>90</v>
      </c>
      <c r="D729" s="523">
        <v>126</v>
      </c>
      <c r="E729" s="20">
        <v>508</v>
      </c>
      <c r="F729" s="21" t="str">
        <f t="shared" si="203"/>
        <v/>
      </c>
      <c r="G729" s="21">
        <f t="shared" si="204"/>
        <v>64008</v>
      </c>
      <c r="H729" s="21" t="str">
        <f t="shared" si="205"/>
        <v/>
      </c>
      <c r="I729" s="22" t="str">
        <f t="shared" si="206"/>
        <v/>
      </c>
    </row>
    <row r="730" spans="1:9" ht="31.2" x14ac:dyDescent="0.3">
      <c r="A730" s="350" t="s">
        <v>24</v>
      </c>
      <c r="B730" s="422" t="s">
        <v>91</v>
      </c>
      <c r="C730" s="351" t="s">
        <v>25</v>
      </c>
      <c r="D730" s="412">
        <v>0.25</v>
      </c>
      <c r="E730" s="321">
        <f>+'especiales '!D112</f>
        <v>829503.1</v>
      </c>
      <c r="F730" s="322">
        <f t="shared" si="203"/>
        <v>207375.77499999999</v>
      </c>
      <c r="G730" s="322" t="str">
        <f t="shared" si="204"/>
        <v/>
      </c>
      <c r="H730" s="322" t="str">
        <f t="shared" si="205"/>
        <v/>
      </c>
      <c r="I730" s="323" t="str">
        <f t="shared" si="206"/>
        <v/>
      </c>
    </row>
    <row r="731" spans="1:9" ht="15.75" customHeight="1" x14ac:dyDescent="0.3">
      <c r="A731" s="375" t="s">
        <v>29</v>
      </c>
      <c r="B731" s="423" t="s">
        <v>92</v>
      </c>
      <c r="C731" s="424" t="s">
        <v>25</v>
      </c>
      <c r="D731" s="561">
        <f>+D730</f>
        <v>0.25</v>
      </c>
      <c r="E731" s="321">
        <f>+'especiales '!D113</f>
        <v>74522.8</v>
      </c>
      <c r="F731" s="322" t="str">
        <f t="shared" si="203"/>
        <v/>
      </c>
      <c r="G731" s="322" t="str">
        <f t="shared" si="204"/>
        <v/>
      </c>
      <c r="H731" s="322">
        <f t="shared" si="205"/>
        <v>18630.7</v>
      </c>
      <c r="I731" s="323" t="str">
        <f t="shared" si="206"/>
        <v/>
      </c>
    </row>
    <row r="732" spans="1:9" ht="15.6" x14ac:dyDescent="0.3">
      <c r="A732" s="375" t="s">
        <v>29</v>
      </c>
      <c r="B732" s="423" t="s">
        <v>93</v>
      </c>
      <c r="C732" s="424" t="s">
        <v>25</v>
      </c>
      <c r="D732" s="561">
        <f>+D730</f>
        <v>0.25</v>
      </c>
      <c r="E732" s="321">
        <f>+'especiales '!D114</f>
        <v>53230.6</v>
      </c>
      <c r="F732" s="322" t="str">
        <f t="shared" si="203"/>
        <v/>
      </c>
      <c r="G732" s="322" t="str">
        <f t="shared" si="204"/>
        <v/>
      </c>
      <c r="H732" s="322">
        <f t="shared" si="205"/>
        <v>13307.65</v>
      </c>
      <c r="I732" s="323" t="str">
        <f t="shared" si="206"/>
        <v/>
      </c>
    </row>
    <row r="733" spans="1:9" ht="15.6" x14ac:dyDescent="0.3">
      <c r="A733" s="350" t="s">
        <v>29</v>
      </c>
      <c r="B733" s="349" t="s">
        <v>30</v>
      </c>
      <c r="C733" s="351" t="s">
        <v>28</v>
      </c>
      <c r="D733" s="412">
        <v>0.05</v>
      </c>
      <c r="E733" s="321">
        <f>+F730</f>
        <v>207375.77499999999</v>
      </c>
      <c r="F733" s="322" t="str">
        <f t="shared" si="203"/>
        <v/>
      </c>
      <c r="G733" s="322" t="str">
        <f t="shared" si="204"/>
        <v/>
      </c>
      <c r="H733" s="322">
        <f t="shared" si="205"/>
        <v>10368.78875</v>
      </c>
      <c r="I733" s="323" t="str">
        <f t="shared" si="206"/>
        <v/>
      </c>
    </row>
    <row r="734" spans="1:9" ht="15.6" x14ac:dyDescent="0.3">
      <c r="A734" s="230"/>
      <c r="B734" s="231"/>
      <c r="C734" s="232"/>
      <c r="D734" s="530"/>
      <c r="E734" s="233"/>
      <c r="F734" s="228" t="str">
        <f t="shared" si="203"/>
        <v/>
      </c>
      <c r="G734" s="228" t="str">
        <f t="shared" si="204"/>
        <v/>
      </c>
      <c r="H734" s="228" t="str">
        <f t="shared" si="205"/>
        <v/>
      </c>
      <c r="I734" s="229" t="str">
        <f t="shared" si="206"/>
        <v/>
      </c>
    </row>
    <row r="735" spans="1:9" ht="37.5" customHeight="1" thickBot="1" x14ac:dyDescent="0.35">
      <c r="A735" s="342"/>
      <c r="B735" s="343" t="s">
        <v>31</v>
      </c>
      <c r="C735" s="344">
        <f>ROUND(SUM(F735:I735),0)</f>
        <v>313691</v>
      </c>
      <c r="D735" s="522" t="str">
        <f>+C724</f>
        <v>m3</v>
      </c>
      <c r="E735" s="345"/>
      <c r="F735" s="346">
        <f>SUM(F729:F734)</f>
        <v>207375.77499999999</v>
      </c>
      <c r="G735" s="346">
        <f>SUM(G729:G734)</f>
        <v>64008</v>
      </c>
      <c r="H735" s="346">
        <f>SUM(H729:H734)</f>
        <v>42307.138749999998</v>
      </c>
      <c r="I735" s="352">
        <f>SUM(I729:I734)</f>
        <v>0</v>
      </c>
    </row>
    <row r="736" spans="1:9" ht="15.6" thickTop="1" thickBot="1" x14ac:dyDescent="0.35"/>
    <row r="737" spans="1:9" ht="16.2" thickTop="1" x14ac:dyDescent="0.3">
      <c r="A737" s="854" t="s">
        <v>35</v>
      </c>
      <c r="B737" s="855"/>
      <c r="C737" s="943" t="s">
        <v>314</v>
      </c>
      <c r="D737" s="944"/>
      <c r="E737" s="944"/>
      <c r="F737" s="944"/>
      <c r="G737" s="944"/>
      <c r="H737" s="944"/>
      <c r="I737" s="945"/>
    </row>
    <row r="738" spans="1:9" ht="31.5" customHeight="1" x14ac:dyDescent="0.3">
      <c r="A738" s="858" t="s">
        <v>12</v>
      </c>
      <c r="B738" s="859"/>
      <c r="C738" s="948" t="s">
        <v>394</v>
      </c>
      <c r="D738" s="949"/>
      <c r="E738" s="949"/>
      <c r="F738" s="949"/>
      <c r="G738" s="949"/>
      <c r="H738" s="949"/>
      <c r="I738" s="950"/>
    </row>
    <row r="739" spans="1:9" ht="15.75" customHeight="1" x14ac:dyDescent="0.3">
      <c r="A739" s="858" t="s">
        <v>13</v>
      </c>
      <c r="B739" s="859"/>
      <c r="C739" s="948" t="s">
        <v>7</v>
      </c>
      <c r="D739" s="949"/>
      <c r="E739" s="949"/>
      <c r="F739" s="949"/>
      <c r="G739" s="949"/>
      <c r="H739" s="949"/>
      <c r="I739" s="950"/>
    </row>
    <row r="740" spans="1:9" ht="15.75" customHeight="1" x14ac:dyDescent="0.3">
      <c r="A740" s="862" t="s">
        <v>14</v>
      </c>
      <c r="B740" s="848" t="s">
        <v>15</v>
      </c>
      <c r="C740" s="864" t="s">
        <v>16</v>
      </c>
      <c r="D740" s="866" t="s">
        <v>17</v>
      </c>
      <c r="E740" s="868" t="s">
        <v>18</v>
      </c>
      <c r="F740" s="955" t="s">
        <v>19</v>
      </c>
      <c r="G740" s="956"/>
      <c r="H740" s="956"/>
      <c r="I740" s="957"/>
    </row>
    <row r="741" spans="1:9" ht="31.8" thickBot="1" x14ac:dyDescent="0.35">
      <c r="A741" s="863"/>
      <c r="B741" s="864"/>
      <c r="C741" s="952"/>
      <c r="D741" s="953"/>
      <c r="E741" s="954"/>
      <c r="F741" s="480" t="s">
        <v>20</v>
      </c>
      <c r="G741" s="480" t="s">
        <v>21</v>
      </c>
      <c r="H741" s="480" t="s">
        <v>22</v>
      </c>
      <c r="I741" s="14" t="s">
        <v>23</v>
      </c>
    </row>
    <row r="742" spans="1:9" ht="16.8" thickTop="1" thickBot="1" x14ac:dyDescent="0.35">
      <c r="A742" s="87"/>
      <c r="B742" s="87"/>
      <c r="C742" s="87"/>
      <c r="D742" s="536"/>
      <c r="E742" s="88"/>
      <c r="F742" s="87"/>
      <c r="G742" s="87"/>
      <c r="H742" s="87"/>
      <c r="I742" s="87"/>
    </row>
    <row r="743" spans="1:9" ht="16.2" thickTop="1" x14ac:dyDescent="0.3">
      <c r="A743" s="89" t="s">
        <v>24</v>
      </c>
      <c r="B743" s="90" t="s">
        <v>223</v>
      </c>
      <c r="C743" s="91" t="s">
        <v>25</v>
      </c>
      <c r="D743" s="537">
        <v>0.125</v>
      </c>
      <c r="E743" s="20">
        <f>+'M.O 2020'!B5</f>
        <v>121696</v>
      </c>
      <c r="F743" s="17">
        <f>IF(A743="MO",D743*E743,"")</f>
        <v>15212</v>
      </c>
      <c r="G743" s="17" t="str">
        <f>IF(A743="MA",D743*E743,"")</f>
        <v/>
      </c>
      <c r="H743" s="17" t="str">
        <f>IF(A743="HE",D743*E743,"")</f>
        <v/>
      </c>
      <c r="I743" s="18" t="str">
        <f t="shared" ref="I743:I750" si="207">IF(A743="OT",D743*E743,"")</f>
        <v/>
      </c>
    </row>
    <row r="744" spans="1:9" ht="15.6" x14ac:dyDescent="0.3">
      <c r="A744" s="19" t="s">
        <v>24</v>
      </c>
      <c r="B744" s="13" t="s">
        <v>27</v>
      </c>
      <c r="C744" s="12" t="s">
        <v>38</v>
      </c>
      <c r="D744" s="524">
        <v>0.04</v>
      </c>
      <c r="E744" s="20">
        <f>+F743</f>
        <v>15212</v>
      </c>
      <c r="F744" s="21">
        <f>IF(A744="MO",D744*E744,"")</f>
        <v>608.48</v>
      </c>
      <c r="G744" s="21" t="str">
        <f>IF(A744="MA",D744*E744,"")</f>
        <v/>
      </c>
      <c r="H744" s="21" t="str">
        <f>IF(A744="HE",D744*E744,"")</f>
        <v/>
      </c>
      <c r="I744" s="22" t="str">
        <f t="shared" si="207"/>
        <v/>
      </c>
    </row>
    <row r="745" spans="1:9" ht="15.6" x14ac:dyDescent="0.3">
      <c r="A745" s="19" t="s">
        <v>32</v>
      </c>
      <c r="B745" s="13" t="s">
        <v>315</v>
      </c>
      <c r="C745" s="12" t="s">
        <v>7</v>
      </c>
      <c r="D745" s="523">
        <v>1.3</v>
      </c>
      <c r="E745" s="20">
        <v>47000</v>
      </c>
      <c r="F745" s="21" t="str">
        <f>IF(A745="MO",D745*E745,"")</f>
        <v/>
      </c>
      <c r="G745" s="21">
        <f>IF(A745="MA",D745*E745,"")</f>
        <v>61100</v>
      </c>
      <c r="H745" s="21" t="str">
        <f>IF(A745="HE",D745*E745,"")</f>
        <v/>
      </c>
      <c r="I745" s="22" t="str">
        <f t="shared" si="207"/>
        <v/>
      </c>
    </row>
    <row r="746" spans="1:9" ht="15.6" x14ac:dyDescent="0.3">
      <c r="A746" s="350" t="s">
        <v>26</v>
      </c>
      <c r="B746" s="349" t="s">
        <v>119</v>
      </c>
      <c r="C746" s="351" t="s">
        <v>120</v>
      </c>
      <c r="D746" s="412">
        <v>30</v>
      </c>
      <c r="E746" s="321">
        <v>1500</v>
      </c>
      <c r="F746" s="322" t="str">
        <f t="shared" ref="F746" si="208">IF(A746="MO",D746*E746,"")</f>
        <v/>
      </c>
      <c r="G746" s="322" t="str">
        <f t="shared" ref="G746" si="209">IF(A746="MA",D746*E746,"")</f>
        <v/>
      </c>
      <c r="H746" s="322" t="str">
        <f t="shared" ref="H746" si="210">IF(A746="HE",D746*E746,"")</f>
        <v/>
      </c>
      <c r="I746" s="323">
        <f t="shared" si="207"/>
        <v>45000</v>
      </c>
    </row>
    <row r="747" spans="1:9" ht="31.5" customHeight="1" x14ac:dyDescent="0.3">
      <c r="A747" s="15" t="s">
        <v>29</v>
      </c>
      <c r="B747" s="11" t="s">
        <v>304</v>
      </c>
      <c r="C747" s="16" t="s">
        <v>289</v>
      </c>
      <c r="D747" s="515">
        <f>2*D745</f>
        <v>2.6</v>
      </c>
      <c r="E747" s="20">
        <f>+$C$990</f>
        <v>8250.6174612024897</v>
      </c>
      <c r="F747" s="21" t="str">
        <f>IF(A747="MO",D747*E747,"")</f>
        <v/>
      </c>
      <c r="G747" s="21" t="str">
        <f>IF(A747="MA",D747*E747,"")</f>
        <v/>
      </c>
      <c r="H747" s="21">
        <f>IF(A747="HE",D747*E747,"")</f>
        <v>21451.605399126474</v>
      </c>
      <c r="I747" s="22" t="str">
        <f t="shared" si="207"/>
        <v/>
      </c>
    </row>
    <row r="748" spans="1:9" ht="15.6" x14ac:dyDescent="0.3">
      <c r="A748" s="19" t="s">
        <v>29</v>
      </c>
      <c r="B748" s="13" t="s">
        <v>316</v>
      </c>
      <c r="C748" s="12" t="s">
        <v>126</v>
      </c>
      <c r="D748" s="523">
        <v>0.125</v>
      </c>
      <c r="E748" s="20">
        <v>39394</v>
      </c>
      <c r="F748" s="21" t="str">
        <f t="shared" ref="F748:F749" si="211">IF(A748="MO",D748*E748,"")</f>
        <v/>
      </c>
      <c r="G748" s="21"/>
      <c r="H748" s="21">
        <f t="shared" ref="H748:H749" si="212">IF(A748="HE",D748*E748,"")</f>
        <v>4924.25</v>
      </c>
      <c r="I748" s="22" t="str">
        <f t="shared" si="207"/>
        <v/>
      </c>
    </row>
    <row r="749" spans="1:9" ht="15.6" x14ac:dyDescent="0.3">
      <c r="A749" s="19" t="s">
        <v>29</v>
      </c>
      <c r="B749" s="13" t="s">
        <v>30</v>
      </c>
      <c r="C749" s="12" t="s">
        <v>38</v>
      </c>
      <c r="D749" s="524">
        <v>0.05</v>
      </c>
      <c r="E749" s="20">
        <f>F743</f>
        <v>15212</v>
      </c>
      <c r="F749" s="21" t="str">
        <f t="shared" si="211"/>
        <v/>
      </c>
      <c r="G749" s="21" t="str">
        <f>IF(A749="MA",D749*E749,"")</f>
        <v/>
      </c>
      <c r="H749" s="21">
        <f t="shared" si="212"/>
        <v>760.6</v>
      </c>
      <c r="I749" s="22" t="str">
        <f t="shared" si="207"/>
        <v/>
      </c>
    </row>
    <row r="750" spans="1:9" ht="15.6" x14ac:dyDescent="0.3">
      <c r="A750" s="19"/>
      <c r="B750" s="13"/>
      <c r="C750" s="12"/>
      <c r="D750" s="523"/>
      <c r="E750" s="20"/>
      <c r="F750" s="21" t="str">
        <f>IF(A750="MO",D750*E750,"")</f>
        <v/>
      </c>
      <c r="G750" s="21" t="str">
        <f>IF(A750="MA",D750*E750,"")</f>
        <v/>
      </c>
      <c r="H750" s="21" t="str">
        <f>IF(A750="HE",D750*E750,"")</f>
        <v/>
      </c>
      <c r="I750" s="22" t="str">
        <f t="shared" si="207"/>
        <v/>
      </c>
    </row>
    <row r="751" spans="1:9" ht="16.2" thickBot="1" x14ac:dyDescent="0.35">
      <c r="A751" s="23"/>
      <c r="B751" s="24" t="s">
        <v>31</v>
      </c>
      <c r="C751" s="25">
        <f>ROUND(SUM(F751:I751),0)</f>
        <v>149057</v>
      </c>
      <c r="D751" s="516" t="str">
        <f>C739</f>
        <v>m3</v>
      </c>
      <c r="E751" s="26"/>
      <c r="F751" s="27">
        <f>SUM(F743:F750)</f>
        <v>15820.48</v>
      </c>
      <c r="G751" s="27">
        <f>SUM(G743:G750)</f>
        <v>61100</v>
      </c>
      <c r="H751" s="27">
        <f>SUM(H743:H750)</f>
        <v>27136.455399126473</v>
      </c>
      <c r="I751" s="28">
        <f>SUM(I743:I750)</f>
        <v>45000</v>
      </c>
    </row>
    <row r="752" spans="1:9" ht="15.6" thickTop="1" thickBot="1" x14ac:dyDescent="0.35"/>
    <row r="753" spans="1:9" ht="16.2" thickTop="1" x14ac:dyDescent="0.3">
      <c r="A753" s="854" t="s">
        <v>39</v>
      </c>
      <c r="B753" s="855"/>
      <c r="C753" s="856" t="s">
        <v>94</v>
      </c>
      <c r="D753" s="856"/>
      <c r="E753" s="856"/>
      <c r="F753" s="856"/>
      <c r="G753" s="856"/>
      <c r="H753" s="856"/>
      <c r="I753" s="857"/>
    </row>
    <row r="754" spans="1:9" ht="18.75" customHeight="1" x14ac:dyDescent="0.3">
      <c r="A754" s="858" t="s">
        <v>12</v>
      </c>
      <c r="B754" s="859"/>
      <c r="C754" s="860" t="s">
        <v>514</v>
      </c>
      <c r="D754" s="860"/>
      <c r="E754" s="860"/>
      <c r="F754" s="860"/>
      <c r="G754" s="860"/>
      <c r="H754" s="860"/>
      <c r="I754" s="861"/>
    </row>
    <row r="755" spans="1:9" ht="54.75" customHeight="1" x14ac:dyDescent="0.3">
      <c r="A755" s="858" t="s">
        <v>13</v>
      </c>
      <c r="B755" s="859"/>
      <c r="C755" s="860" t="s">
        <v>7</v>
      </c>
      <c r="D755" s="860"/>
      <c r="E755" s="860"/>
      <c r="F755" s="860"/>
      <c r="G755" s="860"/>
      <c r="H755" s="860"/>
      <c r="I755" s="861"/>
    </row>
    <row r="756" spans="1:9" ht="15.6" x14ac:dyDescent="0.3">
      <c r="A756" s="862" t="s">
        <v>14</v>
      </c>
      <c r="B756" s="848" t="s">
        <v>15</v>
      </c>
      <c r="C756" s="848" t="s">
        <v>16</v>
      </c>
      <c r="D756" s="865" t="s">
        <v>17</v>
      </c>
      <c r="E756" s="867" t="s">
        <v>18</v>
      </c>
      <c r="F756" s="848" t="s">
        <v>19</v>
      </c>
      <c r="G756" s="848"/>
      <c r="H756" s="848"/>
      <c r="I756" s="869"/>
    </row>
    <row r="757" spans="1:9" ht="31.8" thickBot="1" x14ac:dyDescent="0.35">
      <c r="A757" s="863"/>
      <c r="B757" s="864"/>
      <c r="C757" s="864"/>
      <c r="D757" s="866"/>
      <c r="E757" s="868"/>
      <c r="F757" s="480" t="s">
        <v>20</v>
      </c>
      <c r="G757" s="480" t="s">
        <v>21</v>
      </c>
      <c r="H757" s="480" t="s">
        <v>22</v>
      </c>
      <c r="I757" s="14" t="s">
        <v>23</v>
      </c>
    </row>
    <row r="758" spans="1:9" ht="16.8" thickTop="1" thickBot="1" x14ac:dyDescent="0.35">
      <c r="A758" s="9"/>
      <c r="B758" s="9"/>
      <c r="C758" s="9"/>
      <c r="D758" s="513"/>
      <c r="E758" s="10"/>
      <c r="F758" s="9"/>
      <c r="G758" s="9"/>
      <c r="H758" s="9"/>
      <c r="I758" s="9"/>
    </row>
    <row r="759" spans="1:9" ht="16.2" thickTop="1" x14ac:dyDescent="0.3">
      <c r="A759" s="15" t="s">
        <v>24</v>
      </c>
      <c r="B759" s="488" t="s">
        <v>830</v>
      </c>
      <c r="C759" s="16" t="s">
        <v>25</v>
      </c>
      <c r="D759" s="523">
        <f t="shared" ref="D759" si="213">1/6.85</f>
        <v>0.14598540145985403</v>
      </c>
      <c r="E759" s="20">
        <f>+'M.O 2020'!B8</f>
        <v>365088</v>
      </c>
      <c r="F759" s="17">
        <f>IF(A759="MO",D759*E759,"")</f>
        <v>53297.518248175191</v>
      </c>
      <c r="G759" s="17" t="str">
        <f t="shared" ref="G759:G761" si="214">IF(A759="MA",D759*E759,"")</f>
        <v/>
      </c>
      <c r="H759" s="17" t="str">
        <f>IF(A759="HE",D759*E759,"")</f>
        <v/>
      </c>
      <c r="I759" s="18" t="str">
        <f>IF(A759="OT",D759*E759,"")</f>
        <v/>
      </c>
    </row>
    <row r="760" spans="1:9" ht="15.75" customHeight="1" x14ac:dyDescent="0.3">
      <c r="A760" s="19" t="s">
        <v>29</v>
      </c>
      <c r="B760" s="13" t="s">
        <v>30</v>
      </c>
      <c r="C760" s="12" t="s">
        <v>28</v>
      </c>
      <c r="D760" s="523">
        <v>0.1</v>
      </c>
      <c r="E760" s="20">
        <f>F759</f>
        <v>53297.518248175191</v>
      </c>
      <c r="F760" s="21" t="str">
        <f>IF(A760="MO",D760*E760,"")</f>
        <v/>
      </c>
      <c r="G760" s="21" t="str">
        <f t="shared" si="214"/>
        <v/>
      </c>
      <c r="H760" s="21">
        <f>IF(A760="HE",D760*E760,"")</f>
        <v>5329.7518248175193</v>
      </c>
      <c r="I760" s="22" t="str">
        <f>IF(A760="OT",D760*E760,"")</f>
        <v/>
      </c>
    </row>
    <row r="761" spans="1:9" ht="15.6" x14ac:dyDescent="0.3">
      <c r="A761" s="19"/>
      <c r="B761" s="488"/>
      <c r="C761" s="12"/>
      <c r="D761" s="523"/>
      <c r="E761" s="20"/>
      <c r="F761" s="21" t="str">
        <f>IF(A761="MO",D761*E761,"")</f>
        <v/>
      </c>
      <c r="G761" s="21" t="str">
        <f t="shared" si="214"/>
        <v/>
      </c>
      <c r="H761" s="21" t="str">
        <f>IF(A761="HE",D761*E761,"")</f>
        <v/>
      </c>
      <c r="I761" s="22" t="str">
        <f>IF(A761="OT",D761*E761,"")</f>
        <v/>
      </c>
    </row>
    <row r="762" spans="1:9" ht="16.2" thickBot="1" x14ac:dyDescent="0.35">
      <c r="A762" s="23"/>
      <c r="B762" s="24" t="s">
        <v>31</v>
      </c>
      <c r="C762" s="25">
        <f>ROUND(SUM(F762:I762),0)</f>
        <v>58627</v>
      </c>
      <c r="D762" s="516" t="str">
        <f>+C755</f>
        <v>m3</v>
      </c>
      <c r="E762" s="26"/>
      <c r="F762" s="27">
        <f>SUM(F759:F761)</f>
        <v>53297.518248175191</v>
      </c>
      <c r="G762" s="27">
        <f>SUM(G759:G761)</f>
        <v>0</v>
      </c>
      <c r="H762" s="27">
        <f>SUM(H759:H761)</f>
        <v>5329.7518248175193</v>
      </c>
      <c r="I762" s="28">
        <f>SUM(I759:I761)</f>
        <v>0</v>
      </c>
    </row>
    <row r="763" spans="1:9" ht="16.8" thickTop="1" thickBot="1" x14ac:dyDescent="0.35">
      <c r="A763" s="250"/>
      <c r="B763" s="250"/>
      <c r="C763" s="251"/>
      <c r="D763" s="252"/>
      <c r="E763" s="253"/>
      <c r="F763" s="254"/>
      <c r="G763" s="254"/>
      <c r="H763" s="254"/>
      <c r="I763" s="254"/>
    </row>
    <row r="764" spans="1:9" ht="16.2" thickTop="1" x14ac:dyDescent="0.3">
      <c r="A764" s="854" t="s">
        <v>35</v>
      </c>
      <c r="B764" s="855"/>
      <c r="C764" s="943" t="s">
        <v>202</v>
      </c>
      <c r="D764" s="944"/>
      <c r="E764" s="944"/>
      <c r="F764" s="944"/>
      <c r="G764" s="944"/>
      <c r="H764" s="944"/>
      <c r="I764" s="945"/>
    </row>
    <row r="765" spans="1:9" ht="15.6" x14ac:dyDescent="0.3">
      <c r="A765" s="858" t="s">
        <v>12</v>
      </c>
      <c r="B765" s="859"/>
      <c r="C765" s="948" t="s">
        <v>395</v>
      </c>
      <c r="D765" s="949"/>
      <c r="E765" s="949"/>
      <c r="F765" s="949"/>
      <c r="G765" s="949"/>
      <c r="H765" s="949"/>
      <c r="I765" s="950"/>
    </row>
    <row r="766" spans="1:9" ht="31.5" customHeight="1" x14ac:dyDescent="0.3">
      <c r="A766" s="858" t="s">
        <v>13</v>
      </c>
      <c r="B766" s="859"/>
      <c r="C766" s="948" t="s">
        <v>7</v>
      </c>
      <c r="D766" s="949"/>
      <c r="E766" s="949"/>
      <c r="F766" s="949"/>
      <c r="G766" s="949"/>
      <c r="H766" s="949"/>
      <c r="I766" s="950"/>
    </row>
    <row r="767" spans="1:9" ht="15.6" x14ac:dyDescent="0.3">
      <c r="A767" s="862" t="s">
        <v>14</v>
      </c>
      <c r="B767" s="848" t="s">
        <v>15</v>
      </c>
      <c r="C767" s="864" t="s">
        <v>16</v>
      </c>
      <c r="D767" s="866" t="s">
        <v>17</v>
      </c>
      <c r="E767" s="868" t="s">
        <v>18</v>
      </c>
      <c r="F767" s="955" t="s">
        <v>19</v>
      </c>
      <c r="G767" s="956"/>
      <c r="H767" s="956"/>
      <c r="I767" s="957"/>
    </row>
    <row r="768" spans="1:9" ht="15.6" customHeight="1" thickBot="1" x14ac:dyDescent="0.35">
      <c r="A768" s="863"/>
      <c r="B768" s="864"/>
      <c r="C768" s="952"/>
      <c r="D768" s="953"/>
      <c r="E768" s="954"/>
      <c r="F768" s="480" t="s">
        <v>20</v>
      </c>
      <c r="G768" s="480" t="s">
        <v>21</v>
      </c>
      <c r="H768" s="480" t="s">
        <v>22</v>
      </c>
      <c r="I768" s="14" t="s">
        <v>23</v>
      </c>
    </row>
    <row r="769" spans="1:9" ht="16.8" thickTop="1" thickBot="1" x14ac:dyDescent="0.35">
      <c r="A769" s="9"/>
      <c r="B769" s="9"/>
      <c r="C769" s="9"/>
      <c r="D769" s="513"/>
      <c r="E769" s="10"/>
      <c r="F769" s="9"/>
      <c r="G769" s="9"/>
      <c r="H769" s="9"/>
      <c r="I769" s="9"/>
    </row>
    <row r="770" spans="1:9" ht="16.2" thickTop="1" x14ac:dyDescent="0.3">
      <c r="A770" s="15" t="s">
        <v>32</v>
      </c>
      <c r="B770" s="11" t="s">
        <v>105</v>
      </c>
      <c r="C770" s="16" t="s">
        <v>7</v>
      </c>
      <c r="D770" s="515">
        <v>1.05</v>
      </c>
      <c r="E770" s="20">
        <f>+E665</f>
        <v>364530</v>
      </c>
      <c r="F770" s="17" t="str">
        <f>IF(A770="MO",D770*E770,"")</f>
        <v/>
      </c>
      <c r="G770" s="17">
        <f>IF(A770="MA",D770*E770,"")</f>
        <v>382756.5</v>
      </c>
      <c r="H770" s="17" t="str">
        <f>IF(A770="HE",D770*E770,"")</f>
        <v/>
      </c>
      <c r="I770" s="18" t="str">
        <f>IF(A770="OT",D770*E770,"")</f>
        <v/>
      </c>
    </row>
    <row r="771" spans="1:9" ht="15.6" x14ac:dyDescent="0.3">
      <c r="A771" s="375" t="s">
        <v>29</v>
      </c>
      <c r="B771" s="377" t="s">
        <v>304</v>
      </c>
      <c r="C771" s="383" t="s">
        <v>289</v>
      </c>
      <c r="D771" s="520">
        <v>2.4</v>
      </c>
      <c r="E771" s="321">
        <f>+C990</f>
        <v>8250.6174612024897</v>
      </c>
      <c r="F771" s="322" t="str">
        <f>IF(A771="MO",D771*E771,"")</f>
        <v/>
      </c>
      <c r="G771" s="322" t="str">
        <f>IF(A771="MA",D771*E771,"")</f>
        <v/>
      </c>
      <c r="H771" s="322">
        <f>IF(A771="HE",D771*E771,"")</f>
        <v>19801.481906885976</v>
      </c>
      <c r="I771" s="323" t="str">
        <f>IF(A771="OT",D771*E771,"")</f>
        <v/>
      </c>
    </row>
    <row r="772" spans="1:9" ht="15.6" x14ac:dyDescent="0.3">
      <c r="A772" s="19" t="s">
        <v>24</v>
      </c>
      <c r="B772" s="13" t="s">
        <v>430</v>
      </c>
      <c r="C772" s="12" t="s">
        <v>25</v>
      </c>
      <c r="D772" s="523">
        <v>0.33300000000000002</v>
      </c>
      <c r="E772" s="20">
        <f>+'M.O 2020'!B13</f>
        <v>357888</v>
      </c>
      <c r="F772" s="21">
        <f>IF(A772="MO",D772*E772,"")</f>
        <v>119176.70400000001</v>
      </c>
      <c r="G772" s="21" t="str">
        <f>IF(A772="MA",D772*E772,"")</f>
        <v/>
      </c>
      <c r="H772" s="21" t="str">
        <f>IF(A772="HE",D772*E772,"")</f>
        <v/>
      </c>
      <c r="I772" s="22" t="str">
        <f>IF(A772="OT",D772*E772,"")</f>
        <v/>
      </c>
    </row>
    <row r="773" spans="1:9" ht="15.6" x14ac:dyDescent="0.3">
      <c r="A773" s="19" t="s">
        <v>29</v>
      </c>
      <c r="B773" s="13" t="s">
        <v>30</v>
      </c>
      <c r="C773" s="12" t="s">
        <v>28</v>
      </c>
      <c r="D773" s="523">
        <v>0.05</v>
      </c>
      <c r="E773" s="20">
        <f>F772</f>
        <v>119176.70400000001</v>
      </c>
      <c r="F773" s="21" t="str">
        <f>IF(A773="MO",D773*E773,"")</f>
        <v/>
      </c>
      <c r="G773" s="21" t="str">
        <f>IF(A773="MA",D773*E773,"")</f>
        <v/>
      </c>
      <c r="H773" s="21">
        <f>IF(A773="HE",D773*E773,"")</f>
        <v>5958.8352000000014</v>
      </c>
      <c r="I773" s="22" t="str">
        <f>IF(A773="OT",D773*E773,"")</f>
        <v/>
      </c>
    </row>
    <row r="774" spans="1:9" ht="15.75" customHeight="1" x14ac:dyDescent="0.3">
      <c r="A774" s="19"/>
      <c r="B774" s="488"/>
      <c r="C774" s="12"/>
      <c r="D774" s="523"/>
      <c r="E774" s="20"/>
      <c r="F774" s="21" t="str">
        <f>IF(A774="MO",D774*E774,"")</f>
        <v/>
      </c>
      <c r="G774" s="21" t="str">
        <f>IF(A774="MA",D774*E774,"")</f>
        <v/>
      </c>
      <c r="H774" s="21" t="str">
        <f>IF(A774="HE",D774*E774,"")</f>
        <v/>
      </c>
      <c r="I774" s="22" t="str">
        <f>IF(A774="OT",D774*E774,"")</f>
        <v/>
      </c>
    </row>
    <row r="775" spans="1:9" ht="16.2" thickBot="1" x14ac:dyDescent="0.35">
      <c r="A775" s="23"/>
      <c r="B775" s="24" t="s">
        <v>31</v>
      </c>
      <c r="C775" s="25">
        <f>ROUND(SUM(F775:I775),0)</f>
        <v>527694</v>
      </c>
      <c r="D775" s="516" t="str">
        <f>+C766</f>
        <v>m3</v>
      </c>
      <c r="E775" s="26"/>
      <c r="F775" s="27">
        <f>SUM(F770:F774)</f>
        <v>119176.70400000001</v>
      </c>
      <c r="G775" s="27">
        <f>SUM(G770:G774)</f>
        <v>382756.5</v>
      </c>
      <c r="H775" s="27">
        <f>SUM(H770:H774)</f>
        <v>25760.317106885977</v>
      </c>
      <c r="I775" s="28">
        <f>SUM(I770:I774)</f>
        <v>0</v>
      </c>
    </row>
    <row r="776" spans="1:9" ht="15.75" customHeight="1" thickTop="1" thickBot="1" x14ac:dyDescent="0.35"/>
    <row r="777" spans="1:9" ht="16.2" thickTop="1" x14ac:dyDescent="0.3">
      <c r="A777" s="870" t="s">
        <v>35</v>
      </c>
      <c r="B777" s="871"/>
      <c r="C777" s="872" t="s">
        <v>62</v>
      </c>
      <c r="D777" s="873"/>
      <c r="E777" s="873"/>
      <c r="F777" s="873"/>
      <c r="G777" s="873"/>
      <c r="H777" s="873"/>
      <c r="I777" s="874"/>
    </row>
    <row r="778" spans="1:9" ht="31.5" customHeight="1" x14ac:dyDescent="0.3">
      <c r="A778" s="875" t="s">
        <v>12</v>
      </c>
      <c r="B778" s="876"/>
      <c r="C778" s="877" t="s">
        <v>423</v>
      </c>
      <c r="D778" s="878"/>
      <c r="E778" s="878"/>
      <c r="F778" s="878"/>
      <c r="G778" s="878"/>
      <c r="H778" s="878"/>
      <c r="I778" s="879"/>
    </row>
    <row r="779" spans="1:9" ht="15.6" x14ac:dyDescent="0.3">
      <c r="A779" s="875" t="s">
        <v>13</v>
      </c>
      <c r="B779" s="876"/>
      <c r="C779" s="877" t="s">
        <v>7</v>
      </c>
      <c r="D779" s="878"/>
      <c r="E779" s="878"/>
      <c r="F779" s="878"/>
      <c r="G779" s="878"/>
      <c r="H779" s="878"/>
      <c r="I779" s="879"/>
    </row>
    <row r="780" spans="1:9" ht="15.75" customHeight="1" x14ac:dyDescent="0.3">
      <c r="A780" s="880" t="s">
        <v>14</v>
      </c>
      <c r="B780" s="882" t="s">
        <v>15</v>
      </c>
      <c r="C780" s="883" t="s">
        <v>16</v>
      </c>
      <c r="D780" s="885" t="s">
        <v>17</v>
      </c>
      <c r="E780" s="887" t="s">
        <v>18</v>
      </c>
      <c r="F780" s="889" t="s">
        <v>19</v>
      </c>
      <c r="G780" s="890"/>
      <c r="H780" s="890"/>
      <c r="I780" s="891"/>
    </row>
    <row r="781" spans="1:9" ht="31.8" thickBot="1" x14ac:dyDescent="0.35">
      <c r="A781" s="881"/>
      <c r="B781" s="883"/>
      <c r="C781" s="884"/>
      <c r="D781" s="886"/>
      <c r="E781" s="888"/>
      <c r="F781" s="481" t="s">
        <v>20</v>
      </c>
      <c r="G781" s="481" t="s">
        <v>21</v>
      </c>
      <c r="H781" s="481" t="s">
        <v>22</v>
      </c>
      <c r="I781" s="362" t="s">
        <v>23</v>
      </c>
    </row>
    <row r="782" spans="1:9" ht="16.8" thickTop="1" thickBot="1" x14ac:dyDescent="0.35">
      <c r="A782" s="380"/>
      <c r="B782" s="380"/>
      <c r="C782" s="380"/>
      <c r="D782" s="518"/>
      <c r="E782" s="381"/>
      <c r="F782" s="380"/>
      <c r="G782" s="380"/>
      <c r="H782" s="380"/>
      <c r="I782" s="380"/>
    </row>
    <row r="783" spans="1:9" ht="16.2" thickTop="1" x14ac:dyDescent="0.3">
      <c r="A783" s="375" t="s">
        <v>29</v>
      </c>
      <c r="B783" s="349" t="s">
        <v>63</v>
      </c>
      <c r="C783" s="383" t="s">
        <v>36</v>
      </c>
      <c r="D783" s="412">
        <v>5.5E-2</v>
      </c>
      <c r="E783" s="321">
        <f>+'especiales '!D118</f>
        <v>409047.3</v>
      </c>
      <c r="F783" s="322" t="str">
        <f t="shared" ref="F783:F804" si="215">IF(A783="MO",D783*E783,"")</f>
        <v/>
      </c>
      <c r="G783" s="322" t="str">
        <f t="shared" ref="G783:G804" si="216">IF(A783="MA",D783*E783,"")</f>
        <v/>
      </c>
      <c r="H783" s="322">
        <f t="shared" ref="H783:H804" si="217">IF(A783="HE",D783*E783,"")</f>
        <v>22497.601500000001</v>
      </c>
      <c r="I783" s="323" t="str">
        <f t="shared" ref="I783:I804" si="218">IF(A783="OT",D783*E783,"")</f>
        <v/>
      </c>
    </row>
    <row r="784" spans="1:9" ht="15.6" x14ac:dyDescent="0.3">
      <c r="A784" s="375" t="s">
        <v>29</v>
      </c>
      <c r="B784" s="349" t="s">
        <v>64</v>
      </c>
      <c r="C784" s="383" t="s">
        <v>36</v>
      </c>
      <c r="D784" s="412">
        <v>5.5E-2</v>
      </c>
      <c r="E784" s="321">
        <f>+'especiales '!D119</f>
        <v>66739.3</v>
      </c>
      <c r="F784" s="322" t="str">
        <f t="shared" si="215"/>
        <v/>
      </c>
      <c r="G784" s="322" t="str">
        <f t="shared" si="216"/>
        <v/>
      </c>
      <c r="H784" s="322">
        <f t="shared" si="217"/>
        <v>3670.6615000000002</v>
      </c>
      <c r="I784" s="323" t="str">
        <f t="shared" si="218"/>
        <v/>
      </c>
    </row>
    <row r="785" spans="1:9" ht="30.75" customHeight="1" x14ac:dyDescent="0.3">
      <c r="A785" s="375" t="s">
        <v>29</v>
      </c>
      <c r="B785" s="349" t="s">
        <v>65</v>
      </c>
      <c r="C785" s="383" t="s">
        <v>36</v>
      </c>
      <c r="D785" s="412">
        <v>5.5E-2</v>
      </c>
      <c r="E785" s="321">
        <v>40653</v>
      </c>
      <c r="F785" s="322" t="str">
        <f t="shared" si="215"/>
        <v/>
      </c>
      <c r="G785" s="322" t="str">
        <f t="shared" si="216"/>
        <v/>
      </c>
      <c r="H785" s="322">
        <f t="shared" si="217"/>
        <v>2235.915</v>
      </c>
      <c r="I785" s="323" t="str">
        <f t="shared" si="218"/>
        <v/>
      </c>
    </row>
    <row r="786" spans="1:9" ht="15.6" x14ac:dyDescent="0.3">
      <c r="A786" s="375" t="s">
        <v>29</v>
      </c>
      <c r="B786" s="349" t="s">
        <v>57</v>
      </c>
      <c r="C786" s="383" t="s">
        <v>36</v>
      </c>
      <c r="D786" s="412">
        <v>5.5E-2</v>
      </c>
      <c r="E786" s="321">
        <f>+'especiales '!D121</f>
        <v>768578.3</v>
      </c>
      <c r="F786" s="322" t="str">
        <f t="shared" si="215"/>
        <v/>
      </c>
      <c r="G786" s="322" t="str">
        <f t="shared" si="216"/>
        <v/>
      </c>
      <c r="H786" s="322">
        <f t="shared" si="217"/>
        <v>42271.806500000006</v>
      </c>
      <c r="I786" s="323" t="str">
        <f t="shared" si="218"/>
        <v/>
      </c>
    </row>
    <row r="787" spans="1:9" ht="15.6" x14ac:dyDescent="0.3">
      <c r="A787" s="375" t="s">
        <v>29</v>
      </c>
      <c r="B787" s="349" t="s">
        <v>44</v>
      </c>
      <c r="C787" s="383" t="s">
        <v>38</v>
      </c>
      <c r="D787" s="412">
        <v>0.05</v>
      </c>
      <c r="E787" s="321">
        <f>+F805</f>
        <v>138791.68000000002</v>
      </c>
      <c r="F787" s="322" t="str">
        <f t="shared" si="215"/>
        <v/>
      </c>
      <c r="G787" s="322" t="str">
        <f t="shared" si="216"/>
        <v/>
      </c>
      <c r="H787" s="322">
        <f t="shared" si="217"/>
        <v>6939.5840000000017</v>
      </c>
      <c r="I787" s="323" t="str">
        <f t="shared" si="218"/>
        <v/>
      </c>
    </row>
    <row r="788" spans="1:9" ht="15.6" x14ac:dyDescent="0.3">
      <c r="A788" s="375"/>
      <c r="B788" s="349"/>
      <c r="C788" s="383"/>
      <c r="D788" s="412"/>
      <c r="E788" s="321"/>
      <c r="F788" s="322"/>
      <c r="G788" s="322"/>
      <c r="H788" s="322"/>
      <c r="I788" s="323"/>
    </row>
    <row r="789" spans="1:9" ht="15.6" x14ac:dyDescent="0.3">
      <c r="A789" s="375" t="s">
        <v>29</v>
      </c>
      <c r="B789" s="377" t="s">
        <v>304</v>
      </c>
      <c r="C789" s="383" t="s">
        <v>289</v>
      </c>
      <c r="D789" s="520">
        <v>2.4</v>
      </c>
      <c r="E789" s="321">
        <f>+C990</f>
        <v>8250.6174612024897</v>
      </c>
      <c r="F789" s="322" t="str">
        <f>IF(A789="MO",D789*E789,"")</f>
        <v/>
      </c>
      <c r="G789" s="322" t="str">
        <f>IF(A789="MA",D789*E789,"")</f>
        <v/>
      </c>
      <c r="H789" s="322">
        <f>IF(A789="HE",D789*E789,"")</f>
        <v>19801.481906885976</v>
      </c>
      <c r="I789" s="323" t="str">
        <f>IF(A789="OT",D789*E789,"")</f>
        <v/>
      </c>
    </row>
    <row r="790" spans="1:9" ht="31.2" x14ac:dyDescent="0.3">
      <c r="A790" s="633" t="s">
        <v>32</v>
      </c>
      <c r="B790" s="634" t="s">
        <v>79</v>
      </c>
      <c r="C790" s="642" t="s">
        <v>864</v>
      </c>
      <c r="D790" s="636">
        <v>1.1000000000000001</v>
      </c>
      <c r="E790" s="585">
        <f>(356000+43000)*1.19*1.038</f>
        <v>492852.78</v>
      </c>
      <c r="F790" s="586" t="str">
        <f t="shared" si="215"/>
        <v/>
      </c>
      <c r="G790" s="586">
        <f t="shared" si="216"/>
        <v>542138.05800000008</v>
      </c>
      <c r="H790" s="586" t="str">
        <f t="shared" si="217"/>
        <v/>
      </c>
      <c r="I790" s="587" t="str">
        <f t="shared" si="218"/>
        <v/>
      </c>
    </row>
    <row r="791" spans="1:9" ht="16.5" customHeight="1" x14ac:dyDescent="0.3">
      <c r="A791" s="350" t="s">
        <v>32</v>
      </c>
      <c r="B791" s="349" t="s">
        <v>66</v>
      </c>
      <c r="C791" s="383" t="s">
        <v>5</v>
      </c>
      <c r="D791" s="412">
        <v>2.992096651364928E-2</v>
      </c>
      <c r="E791" s="321">
        <f>+'especiales '!D124</f>
        <v>53283.8</v>
      </c>
      <c r="F791" s="322" t="str">
        <f t="shared" si="215"/>
        <v/>
      </c>
      <c r="G791" s="322">
        <f t="shared" si="216"/>
        <v>1594.3027955199855</v>
      </c>
      <c r="H791" s="322" t="str">
        <f t="shared" si="217"/>
        <v/>
      </c>
      <c r="I791" s="323" t="str">
        <f t="shared" si="218"/>
        <v/>
      </c>
    </row>
    <row r="792" spans="1:9" ht="15.6" x14ac:dyDescent="0.3">
      <c r="A792" s="350" t="s">
        <v>32</v>
      </c>
      <c r="B792" s="349" t="s">
        <v>67</v>
      </c>
      <c r="C792" s="383" t="s">
        <v>5</v>
      </c>
      <c r="D792" s="412">
        <v>7.4802416284123194E-2</v>
      </c>
      <c r="E792" s="321">
        <f>+'especiales '!D125</f>
        <v>21797.9</v>
      </c>
      <c r="F792" s="322" t="str">
        <f t="shared" si="215"/>
        <v/>
      </c>
      <c r="G792" s="322">
        <f t="shared" si="216"/>
        <v>1630.5355899196891</v>
      </c>
      <c r="H792" s="322" t="str">
        <f t="shared" si="217"/>
        <v/>
      </c>
      <c r="I792" s="323" t="str">
        <f t="shared" si="218"/>
        <v/>
      </c>
    </row>
    <row r="793" spans="1:9" ht="15.6" x14ac:dyDescent="0.3">
      <c r="A793" s="350" t="s">
        <v>32</v>
      </c>
      <c r="B793" s="349" t="s">
        <v>47</v>
      </c>
      <c r="C793" s="383" t="s">
        <v>5</v>
      </c>
      <c r="D793" s="412">
        <v>3.7401208142061597E-2</v>
      </c>
      <c r="E793" s="321">
        <f>+'especiales '!D126</f>
        <v>63751.6</v>
      </c>
      <c r="F793" s="322" t="str">
        <f t="shared" si="215"/>
        <v/>
      </c>
      <c r="G793" s="322">
        <f t="shared" si="216"/>
        <v>2384.3868609894539</v>
      </c>
      <c r="H793" s="322" t="str">
        <f t="shared" si="217"/>
        <v/>
      </c>
      <c r="I793" s="323" t="str">
        <f t="shared" si="218"/>
        <v/>
      </c>
    </row>
    <row r="794" spans="1:9" ht="15.6" x14ac:dyDescent="0.3">
      <c r="A794" s="350" t="s">
        <v>32</v>
      </c>
      <c r="B794" s="349" t="s">
        <v>59</v>
      </c>
      <c r="C794" s="383" t="s">
        <v>5</v>
      </c>
      <c r="D794" s="412">
        <v>3.7401208142061597E-2</v>
      </c>
      <c r="E794" s="321">
        <f>+'especiales '!D127</f>
        <v>63407.7</v>
      </c>
      <c r="F794" s="322" t="str">
        <f t="shared" si="215"/>
        <v/>
      </c>
      <c r="G794" s="322">
        <f t="shared" si="216"/>
        <v>2371.524585509399</v>
      </c>
      <c r="H794" s="322" t="str">
        <f t="shared" si="217"/>
        <v/>
      </c>
      <c r="I794" s="323" t="str">
        <f t="shared" si="218"/>
        <v/>
      </c>
    </row>
    <row r="795" spans="1:9" ht="18" customHeight="1" x14ac:dyDescent="0.3">
      <c r="A795" s="350" t="s">
        <v>32</v>
      </c>
      <c r="B795" s="349" t="s">
        <v>68</v>
      </c>
      <c r="C795" s="383" t="s">
        <v>69</v>
      </c>
      <c r="D795" s="412">
        <v>2.5000000000000001E-2</v>
      </c>
      <c r="E795" s="321">
        <f>+'especiales '!D128</f>
        <v>114852.7</v>
      </c>
      <c r="F795" s="322" t="str">
        <f t="shared" si="215"/>
        <v/>
      </c>
      <c r="G795" s="322">
        <f t="shared" si="216"/>
        <v>2871.3175000000001</v>
      </c>
      <c r="H795" s="322" t="str">
        <f t="shared" si="217"/>
        <v/>
      </c>
      <c r="I795" s="323" t="str">
        <f t="shared" si="218"/>
        <v/>
      </c>
    </row>
    <row r="796" spans="1:9" ht="15.6" x14ac:dyDescent="0.3">
      <c r="A796" s="350"/>
      <c r="B796" s="349"/>
      <c r="C796" s="383"/>
      <c r="D796" s="412"/>
      <c r="E796" s="321"/>
      <c r="F796" s="322" t="str">
        <f t="shared" si="215"/>
        <v/>
      </c>
      <c r="G796" s="322" t="str">
        <f t="shared" si="216"/>
        <v/>
      </c>
      <c r="H796" s="322" t="str">
        <f t="shared" si="217"/>
        <v/>
      </c>
      <c r="I796" s="323" t="str">
        <f t="shared" si="218"/>
        <v/>
      </c>
    </row>
    <row r="797" spans="1:9" ht="15.6" x14ac:dyDescent="0.3">
      <c r="A797" s="350" t="s">
        <v>24</v>
      </c>
      <c r="B797" s="349" t="s">
        <v>70</v>
      </c>
      <c r="C797" s="383" t="s">
        <v>36</v>
      </c>
      <c r="D797" s="412">
        <v>0.2</v>
      </c>
      <c r="E797" s="321">
        <f>+'especiales '!D130</f>
        <v>109861.5</v>
      </c>
      <c r="F797" s="322">
        <f t="shared" si="215"/>
        <v>21972.300000000003</v>
      </c>
      <c r="G797" s="322" t="str">
        <f t="shared" si="216"/>
        <v/>
      </c>
      <c r="H797" s="322" t="str">
        <f t="shared" si="217"/>
        <v/>
      </c>
      <c r="I797" s="323" t="str">
        <f t="shared" si="218"/>
        <v/>
      </c>
    </row>
    <row r="798" spans="1:9" ht="15.6" x14ac:dyDescent="0.3">
      <c r="A798" s="350" t="s">
        <v>24</v>
      </c>
      <c r="B798" s="349" t="s">
        <v>50</v>
      </c>
      <c r="C798" s="383" t="s">
        <v>36</v>
      </c>
      <c r="D798" s="412">
        <v>0.2</v>
      </c>
      <c r="E798" s="321">
        <f>+'especiales '!D131</f>
        <v>173947.4</v>
      </c>
      <c r="F798" s="322">
        <f t="shared" si="215"/>
        <v>34789.480000000003</v>
      </c>
      <c r="G798" s="322" t="str">
        <f t="shared" si="216"/>
        <v/>
      </c>
      <c r="H798" s="322" t="str">
        <f t="shared" si="217"/>
        <v/>
      </c>
      <c r="I798" s="323" t="str">
        <f t="shared" si="218"/>
        <v/>
      </c>
    </row>
    <row r="799" spans="1:9" ht="15.6" x14ac:dyDescent="0.3">
      <c r="A799" s="350" t="s">
        <v>24</v>
      </c>
      <c r="B799" s="349" t="s">
        <v>51</v>
      </c>
      <c r="C799" s="383" t="s">
        <v>36</v>
      </c>
      <c r="D799" s="412">
        <v>0.2</v>
      </c>
      <c r="E799" s="321">
        <f>+'especiales '!D132</f>
        <v>75072</v>
      </c>
      <c r="F799" s="322">
        <f t="shared" si="215"/>
        <v>15014.400000000001</v>
      </c>
      <c r="G799" s="322" t="str">
        <f t="shared" si="216"/>
        <v/>
      </c>
      <c r="H799" s="322" t="str">
        <f t="shared" si="217"/>
        <v/>
      </c>
      <c r="I799" s="323" t="str">
        <f t="shared" si="218"/>
        <v/>
      </c>
    </row>
    <row r="800" spans="1:9" ht="15.6" x14ac:dyDescent="0.3">
      <c r="A800" s="350" t="s">
        <v>24</v>
      </c>
      <c r="B800" s="349" t="s">
        <v>60</v>
      </c>
      <c r="C800" s="383" t="s">
        <v>36</v>
      </c>
      <c r="D800" s="412">
        <v>0.2</v>
      </c>
      <c r="E800" s="321">
        <f>+'especiales '!D133</f>
        <v>75072</v>
      </c>
      <c r="F800" s="322">
        <f t="shared" si="215"/>
        <v>15014.400000000001</v>
      </c>
      <c r="G800" s="322" t="str">
        <f t="shared" si="216"/>
        <v/>
      </c>
      <c r="H800" s="322" t="str">
        <f t="shared" si="217"/>
        <v/>
      </c>
      <c r="I800" s="323" t="str">
        <f t="shared" si="218"/>
        <v/>
      </c>
    </row>
    <row r="801" spans="1:9" ht="36" customHeight="1" x14ac:dyDescent="0.3">
      <c r="A801" s="350" t="s">
        <v>24</v>
      </c>
      <c r="B801" s="349" t="s">
        <v>71</v>
      </c>
      <c r="C801" s="383" t="s">
        <v>36</v>
      </c>
      <c r="D801" s="412">
        <v>0.2</v>
      </c>
      <c r="E801" s="321">
        <f>+'especiales '!D134</f>
        <v>109861.5</v>
      </c>
      <c r="F801" s="322">
        <f t="shared" si="215"/>
        <v>21972.300000000003</v>
      </c>
      <c r="G801" s="322" t="str">
        <f t="shared" si="216"/>
        <v/>
      </c>
      <c r="H801" s="322" t="str">
        <f t="shared" si="217"/>
        <v/>
      </c>
      <c r="I801" s="323" t="str">
        <f t="shared" si="218"/>
        <v/>
      </c>
    </row>
    <row r="802" spans="1:9" ht="15.6" x14ac:dyDescent="0.3">
      <c r="A802" s="350" t="s">
        <v>24</v>
      </c>
      <c r="B802" s="349" t="s">
        <v>52</v>
      </c>
      <c r="C802" s="383" t="s">
        <v>36</v>
      </c>
      <c r="D802" s="412">
        <v>0.2</v>
      </c>
      <c r="E802" s="321">
        <f>+'especiales '!D135</f>
        <v>75072</v>
      </c>
      <c r="F802" s="322">
        <f t="shared" si="215"/>
        <v>15014.400000000001</v>
      </c>
      <c r="G802" s="322" t="str">
        <f t="shared" si="216"/>
        <v/>
      </c>
      <c r="H802" s="322" t="str">
        <f t="shared" si="217"/>
        <v/>
      </c>
      <c r="I802" s="323" t="str">
        <f t="shared" si="218"/>
        <v/>
      </c>
    </row>
    <row r="803" spans="1:9" ht="15.6" x14ac:dyDescent="0.3">
      <c r="A803" s="350" t="s">
        <v>24</v>
      </c>
      <c r="B803" s="349" t="s">
        <v>61</v>
      </c>
      <c r="C803" s="383" t="s">
        <v>36</v>
      </c>
      <c r="D803" s="412">
        <v>0.2</v>
      </c>
      <c r="E803" s="321">
        <f>+'especiales '!D136</f>
        <v>75072</v>
      </c>
      <c r="F803" s="322">
        <f t="shared" si="215"/>
        <v>15014.400000000001</v>
      </c>
      <c r="G803" s="322" t="str">
        <f t="shared" si="216"/>
        <v/>
      </c>
      <c r="H803" s="322" t="str">
        <f t="shared" si="217"/>
        <v/>
      </c>
      <c r="I803" s="323" t="str">
        <f t="shared" si="218"/>
        <v/>
      </c>
    </row>
    <row r="804" spans="1:9" ht="15.6" x14ac:dyDescent="0.3">
      <c r="A804" s="350"/>
      <c r="B804" s="319"/>
      <c r="C804" s="351"/>
      <c r="D804" s="412"/>
      <c r="E804" s="321"/>
      <c r="F804" s="322" t="str">
        <f t="shared" si="215"/>
        <v/>
      </c>
      <c r="G804" s="322" t="str">
        <f t="shared" si="216"/>
        <v/>
      </c>
      <c r="H804" s="322" t="str">
        <f t="shared" si="217"/>
        <v/>
      </c>
      <c r="I804" s="323" t="str">
        <f t="shared" si="218"/>
        <v/>
      </c>
    </row>
    <row r="805" spans="1:9" ht="16.2" thickBot="1" x14ac:dyDescent="0.35">
      <c r="A805" s="342"/>
      <c r="B805" s="343" t="s">
        <v>31</v>
      </c>
      <c r="C805" s="344">
        <f>ROUND(SUM(F805:I805),0)</f>
        <v>789199</v>
      </c>
      <c r="D805" s="522" t="str">
        <f>+C779</f>
        <v>m3</v>
      </c>
      <c r="E805" s="345"/>
      <c r="F805" s="346">
        <f>SUM(F783:F804)</f>
        <v>138791.68000000002</v>
      </c>
      <c r="G805" s="346">
        <f>SUM(G783:G804)</f>
        <v>552990.12533193862</v>
      </c>
      <c r="H805" s="346">
        <f>SUM(H783:H804)</f>
        <v>97417.050406885988</v>
      </c>
      <c r="I805" s="352">
        <f>SUM(I783:I804)</f>
        <v>0</v>
      </c>
    </row>
    <row r="806" spans="1:9" ht="16.8" thickTop="1" thickBot="1" x14ac:dyDescent="0.35">
      <c r="A806" s="250"/>
      <c r="B806" s="250"/>
      <c r="C806" s="251"/>
      <c r="D806" s="252"/>
      <c r="E806" s="253"/>
      <c r="F806" s="254"/>
      <c r="G806" s="254"/>
      <c r="H806" s="254"/>
      <c r="I806" s="254"/>
    </row>
    <row r="807" spans="1:9" ht="16.2" thickTop="1" x14ac:dyDescent="0.3">
      <c r="A807" s="870" t="s">
        <v>35</v>
      </c>
      <c r="B807" s="871"/>
      <c r="C807" s="872" t="s">
        <v>82</v>
      </c>
      <c r="D807" s="873"/>
      <c r="E807" s="873"/>
      <c r="F807" s="873"/>
      <c r="G807" s="873"/>
      <c r="H807" s="873"/>
      <c r="I807" s="874"/>
    </row>
    <row r="808" spans="1:9" ht="31.5" customHeight="1" x14ac:dyDescent="0.3">
      <c r="A808" s="875" t="s">
        <v>12</v>
      </c>
      <c r="B808" s="876"/>
      <c r="C808" s="877" t="s">
        <v>195</v>
      </c>
      <c r="D808" s="878"/>
      <c r="E808" s="878"/>
      <c r="F808" s="878"/>
      <c r="G808" s="878"/>
      <c r="H808" s="878"/>
      <c r="I808" s="879"/>
    </row>
    <row r="809" spans="1:9" ht="15.6" x14ac:dyDescent="0.3">
      <c r="A809" s="875" t="s">
        <v>13</v>
      </c>
      <c r="B809" s="876"/>
      <c r="C809" s="877" t="s">
        <v>7</v>
      </c>
      <c r="D809" s="878"/>
      <c r="E809" s="878"/>
      <c r="F809" s="878"/>
      <c r="G809" s="878"/>
      <c r="H809" s="878"/>
      <c r="I809" s="879"/>
    </row>
    <row r="810" spans="1:9" ht="15.6" x14ac:dyDescent="0.3">
      <c r="A810" s="880" t="s">
        <v>14</v>
      </c>
      <c r="B810" s="882" t="s">
        <v>15</v>
      </c>
      <c r="C810" s="883" t="s">
        <v>16</v>
      </c>
      <c r="D810" s="885" t="s">
        <v>17</v>
      </c>
      <c r="E810" s="887" t="s">
        <v>18</v>
      </c>
      <c r="F810" s="889" t="s">
        <v>19</v>
      </c>
      <c r="G810" s="890"/>
      <c r="H810" s="890"/>
      <c r="I810" s="891"/>
    </row>
    <row r="811" spans="1:9" ht="31.8" thickBot="1" x14ac:dyDescent="0.35">
      <c r="A811" s="881"/>
      <c r="B811" s="883"/>
      <c r="C811" s="884"/>
      <c r="D811" s="886"/>
      <c r="E811" s="888"/>
      <c r="F811" s="481" t="s">
        <v>20</v>
      </c>
      <c r="G811" s="481" t="s">
        <v>21</v>
      </c>
      <c r="H811" s="481" t="s">
        <v>22</v>
      </c>
      <c r="I811" s="362" t="s">
        <v>23</v>
      </c>
    </row>
    <row r="812" spans="1:9" ht="16.8" thickTop="1" thickBot="1" x14ac:dyDescent="0.35">
      <c r="A812" s="380"/>
      <c r="B812" s="380"/>
      <c r="C812" s="380"/>
      <c r="D812" s="518"/>
      <c r="E812" s="381"/>
      <c r="F812" s="380"/>
      <c r="G812" s="380"/>
      <c r="H812" s="380"/>
      <c r="I812" s="380"/>
    </row>
    <row r="813" spans="1:9" ht="16.2" thickTop="1" x14ac:dyDescent="0.3">
      <c r="A813" s="375" t="s">
        <v>29</v>
      </c>
      <c r="B813" s="349" t="s">
        <v>57</v>
      </c>
      <c r="C813" s="383" t="s">
        <v>36</v>
      </c>
      <c r="D813" s="412">
        <v>0.08</v>
      </c>
      <c r="E813" s="321">
        <f>+'especiales '!D140</f>
        <v>409047.3</v>
      </c>
      <c r="F813" s="322" t="str">
        <f t="shared" ref="F813:F840" si="219">IF(A813="MO",D813*E813,"")</f>
        <v/>
      </c>
      <c r="G813" s="322" t="str">
        <f t="shared" ref="G813:G840" si="220">IF(A813="MA",D813*E813,"")</f>
        <v/>
      </c>
      <c r="H813" s="322">
        <f t="shared" ref="H813:H840" si="221">IF(A813="HE",D813*E813,"")</f>
        <v>32723.784</v>
      </c>
      <c r="I813" s="323" t="str">
        <f t="shared" ref="I813:I840" si="222">IF(A813="OT",D813*E813,"")</f>
        <v/>
      </c>
    </row>
    <row r="814" spans="1:9" ht="15.6" x14ac:dyDescent="0.3">
      <c r="A814" s="375" t="s">
        <v>29</v>
      </c>
      <c r="B814" s="349" t="s">
        <v>83</v>
      </c>
      <c r="C814" s="383" t="s">
        <v>36</v>
      </c>
      <c r="D814" s="412">
        <v>0.08</v>
      </c>
      <c r="E814" s="321">
        <v>42268</v>
      </c>
      <c r="F814" s="322" t="str">
        <f t="shared" si="219"/>
        <v/>
      </c>
      <c r="G814" s="322" t="str">
        <f t="shared" si="220"/>
        <v/>
      </c>
      <c r="H814" s="322">
        <f t="shared" si="221"/>
        <v>3381.44</v>
      </c>
      <c r="I814" s="323" t="str">
        <f t="shared" si="222"/>
        <v/>
      </c>
    </row>
    <row r="815" spans="1:9" ht="15.6" x14ac:dyDescent="0.3">
      <c r="A815" s="375" t="s">
        <v>29</v>
      </c>
      <c r="B815" s="349" t="s">
        <v>84</v>
      </c>
      <c r="C815" s="383" t="s">
        <v>36</v>
      </c>
      <c r="D815" s="412">
        <v>0.08</v>
      </c>
      <c r="E815" s="321">
        <f>+'especiales '!D142</f>
        <v>796565.8</v>
      </c>
      <c r="F815" s="322" t="str">
        <f t="shared" si="219"/>
        <v/>
      </c>
      <c r="G815" s="322" t="str">
        <f t="shared" si="220"/>
        <v/>
      </c>
      <c r="H815" s="322">
        <f t="shared" si="221"/>
        <v>63725.264000000003</v>
      </c>
      <c r="I815" s="323" t="str">
        <f t="shared" si="222"/>
        <v/>
      </c>
    </row>
    <row r="816" spans="1:9" ht="15.6" x14ac:dyDescent="0.3">
      <c r="A816" s="375" t="s">
        <v>29</v>
      </c>
      <c r="B816" s="349" t="s">
        <v>43</v>
      </c>
      <c r="C816" s="383" t="s">
        <v>36</v>
      </c>
      <c r="D816" s="412">
        <v>0.08</v>
      </c>
      <c r="E816" s="321">
        <f>+'especiales '!D143</f>
        <v>768578.3</v>
      </c>
      <c r="F816" s="322" t="str">
        <f t="shared" si="219"/>
        <v/>
      </c>
      <c r="G816" s="322" t="str">
        <f t="shared" si="220"/>
        <v/>
      </c>
      <c r="H816" s="322">
        <f t="shared" si="221"/>
        <v>61486.264000000003</v>
      </c>
      <c r="I816" s="323" t="str">
        <f t="shared" si="222"/>
        <v/>
      </c>
    </row>
    <row r="817" spans="1:9" ht="15.6" x14ac:dyDescent="0.3">
      <c r="A817" s="375" t="s">
        <v>29</v>
      </c>
      <c r="B817" s="349" t="s">
        <v>58</v>
      </c>
      <c r="C817" s="383" t="s">
        <v>36</v>
      </c>
      <c r="D817" s="412">
        <v>0.08</v>
      </c>
      <c r="E817" s="321">
        <f>+'especiales '!D144</f>
        <v>19375.900000000001</v>
      </c>
      <c r="F817" s="322" t="str">
        <f t="shared" si="219"/>
        <v/>
      </c>
      <c r="G817" s="322" t="str">
        <f t="shared" si="220"/>
        <v/>
      </c>
      <c r="H817" s="322">
        <f t="shared" si="221"/>
        <v>1550.0720000000001</v>
      </c>
      <c r="I817" s="323" t="str">
        <f t="shared" si="222"/>
        <v/>
      </c>
    </row>
    <row r="818" spans="1:9" ht="15.6" x14ac:dyDescent="0.3">
      <c r="A818" s="375" t="s">
        <v>29</v>
      </c>
      <c r="B818" s="349" t="s">
        <v>44</v>
      </c>
      <c r="C818" s="383" t="s">
        <v>38</v>
      </c>
      <c r="D818" s="412">
        <v>0.1</v>
      </c>
      <c r="E818" s="321">
        <f>+F841</f>
        <v>214981.20099999997</v>
      </c>
      <c r="F818" s="322" t="str">
        <f t="shared" si="219"/>
        <v/>
      </c>
      <c r="G818" s="322" t="str">
        <f t="shared" si="220"/>
        <v/>
      </c>
      <c r="H818" s="322">
        <f t="shared" si="221"/>
        <v>21498.1201</v>
      </c>
      <c r="I818" s="323" t="str">
        <f t="shared" si="222"/>
        <v/>
      </c>
    </row>
    <row r="819" spans="1:9" ht="15.6" x14ac:dyDescent="0.3">
      <c r="A819" s="350"/>
      <c r="B819" s="349"/>
      <c r="C819" s="383"/>
      <c r="D819" s="520"/>
      <c r="E819" s="321"/>
      <c r="F819" s="322" t="str">
        <f t="shared" si="219"/>
        <v/>
      </c>
      <c r="G819" s="322" t="str">
        <f t="shared" si="220"/>
        <v/>
      </c>
      <c r="H819" s="322" t="str">
        <f t="shared" si="221"/>
        <v/>
      </c>
      <c r="I819" s="323" t="str">
        <f t="shared" si="222"/>
        <v/>
      </c>
    </row>
    <row r="820" spans="1:9" ht="15.6" x14ac:dyDescent="0.3">
      <c r="A820" s="375" t="s">
        <v>29</v>
      </c>
      <c r="B820" s="377" t="s">
        <v>304</v>
      </c>
      <c r="C820" s="383" t="s">
        <v>289</v>
      </c>
      <c r="D820" s="520">
        <v>2.4</v>
      </c>
      <c r="E820" s="321">
        <f>+$C$990</f>
        <v>8250.6174612024897</v>
      </c>
      <c r="F820" s="322" t="str">
        <f>IF(A820="MO",D820*E820,"")</f>
        <v/>
      </c>
      <c r="G820" s="322" t="str">
        <f>IF(A820="MA",D820*E820,"")</f>
        <v/>
      </c>
      <c r="H820" s="322">
        <f>IF(A820="HE",D820*E820,"")</f>
        <v>19801.481906885976</v>
      </c>
      <c r="I820" s="323" t="str">
        <f>IF(A820="OT",D820*E820,"")</f>
        <v/>
      </c>
    </row>
    <row r="821" spans="1:9" ht="16.2" x14ac:dyDescent="0.3">
      <c r="A821" s="350" t="s">
        <v>32</v>
      </c>
      <c r="B821" s="349" t="s">
        <v>85</v>
      </c>
      <c r="C821" s="383" t="s">
        <v>864</v>
      </c>
      <c r="D821" s="412">
        <v>1.55</v>
      </c>
      <c r="E821" s="321">
        <f>+'especiales '!D146</f>
        <v>528413.4</v>
      </c>
      <c r="F821" s="322" t="str">
        <f t="shared" si="219"/>
        <v/>
      </c>
      <c r="G821" s="322">
        <f t="shared" si="220"/>
        <v>819040.77</v>
      </c>
      <c r="H821" s="322" t="str">
        <f t="shared" si="221"/>
        <v/>
      </c>
      <c r="I821" s="323" t="str">
        <f t="shared" si="222"/>
        <v/>
      </c>
    </row>
    <row r="822" spans="1:9" ht="15.75" customHeight="1" x14ac:dyDescent="0.3">
      <c r="A822" s="350" t="s">
        <v>32</v>
      </c>
      <c r="B822" s="349" t="s">
        <v>45</v>
      </c>
      <c r="C822" s="383" t="s">
        <v>5</v>
      </c>
      <c r="D822" s="412">
        <v>4.5834813899585285E-3</v>
      </c>
      <c r="E822" s="321">
        <f>+'especiales '!D147</f>
        <v>45246</v>
      </c>
      <c r="F822" s="322" t="str">
        <f t="shared" si="219"/>
        <v/>
      </c>
      <c r="G822" s="322">
        <f t="shared" si="220"/>
        <v>207.38419897006358</v>
      </c>
      <c r="H822" s="322" t="str">
        <f t="shared" si="221"/>
        <v/>
      </c>
      <c r="I822" s="323" t="str">
        <f t="shared" si="222"/>
        <v/>
      </c>
    </row>
    <row r="823" spans="1:9" ht="15.6" x14ac:dyDescent="0.3">
      <c r="A823" s="350" t="s">
        <v>32</v>
      </c>
      <c r="B823" s="349" t="s">
        <v>46</v>
      </c>
      <c r="C823" s="383" t="s">
        <v>5</v>
      </c>
      <c r="D823" s="412">
        <v>7.4802416284123194E-2</v>
      </c>
      <c r="E823" s="321">
        <f>+'especiales '!D148</f>
        <v>19695.3</v>
      </c>
      <c r="F823" s="322" t="str">
        <f t="shared" si="219"/>
        <v/>
      </c>
      <c r="G823" s="322">
        <f t="shared" si="220"/>
        <v>1473.2560294406915</v>
      </c>
      <c r="H823" s="322" t="str">
        <f t="shared" si="221"/>
        <v/>
      </c>
      <c r="I823" s="323" t="str">
        <f t="shared" si="222"/>
        <v/>
      </c>
    </row>
    <row r="824" spans="1:9" ht="15.6" x14ac:dyDescent="0.3">
      <c r="A824" s="350" t="s">
        <v>32</v>
      </c>
      <c r="B824" s="349" t="s">
        <v>47</v>
      </c>
      <c r="C824" s="383" t="s">
        <v>5</v>
      </c>
      <c r="D824" s="412">
        <v>3.7401208142061597E-2</v>
      </c>
      <c r="E824" s="321">
        <f>+'especiales '!D149</f>
        <v>70056.7</v>
      </c>
      <c r="F824" s="322" t="str">
        <f t="shared" si="219"/>
        <v/>
      </c>
      <c r="G824" s="322">
        <f t="shared" si="220"/>
        <v>2620.2052184459667</v>
      </c>
      <c r="H824" s="322" t="str">
        <f t="shared" si="221"/>
        <v/>
      </c>
      <c r="I824" s="323" t="str">
        <f t="shared" si="222"/>
        <v/>
      </c>
    </row>
    <row r="825" spans="1:9" ht="15.6" x14ac:dyDescent="0.3">
      <c r="A825" s="350" t="s">
        <v>32</v>
      </c>
      <c r="B825" s="349" t="s">
        <v>41</v>
      </c>
      <c r="C825" s="383" t="s">
        <v>48</v>
      </c>
      <c r="D825" s="412">
        <v>0.33001066007701413</v>
      </c>
      <c r="E825" s="321">
        <v>8923</v>
      </c>
      <c r="F825" s="322" t="str">
        <f t="shared" si="219"/>
        <v/>
      </c>
      <c r="G825" s="322">
        <f t="shared" si="220"/>
        <v>2944.685119867197</v>
      </c>
      <c r="H825" s="322" t="str">
        <f t="shared" si="221"/>
        <v/>
      </c>
      <c r="I825" s="323" t="str">
        <f t="shared" si="222"/>
        <v/>
      </c>
    </row>
    <row r="826" spans="1:9" ht="15.75" customHeight="1" x14ac:dyDescent="0.3">
      <c r="A826" s="350" t="s">
        <v>32</v>
      </c>
      <c r="B826" s="349" t="s">
        <v>59</v>
      </c>
      <c r="C826" s="383" t="s">
        <v>5</v>
      </c>
      <c r="D826" s="412">
        <v>3.7401208142061597E-2</v>
      </c>
      <c r="E826" s="321">
        <f>+'especiales '!D151</f>
        <v>63407.7</v>
      </c>
      <c r="F826" s="322" t="str">
        <f t="shared" si="219"/>
        <v/>
      </c>
      <c r="G826" s="322">
        <f t="shared" si="220"/>
        <v>2371.524585509399</v>
      </c>
      <c r="H826" s="322" t="str">
        <f t="shared" si="221"/>
        <v/>
      </c>
      <c r="I826" s="323" t="str">
        <f t="shared" si="222"/>
        <v/>
      </c>
    </row>
    <row r="827" spans="1:9" ht="15.6" x14ac:dyDescent="0.3">
      <c r="A827" s="350" t="s">
        <v>32</v>
      </c>
      <c r="B827" s="349" t="s">
        <v>191</v>
      </c>
      <c r="C827" s="383" t="s">
        <v>5</v>
      </c>
      <c r="D827" s="412">
        <v>2.4</v>
      </c>
      <c r="E827" s="321">
        <f>+'especiales '!D152</f>
        <v>10832.4</v>
      </c>
      <c r="F827" s="322" t="s">
        <v>153</v>
      </c>
      <c r="G827" s="322">
        <f t="shared" si="220"/>
        <v>25997.759999999998</v>
      </c>
      <c r="H827" s="322"/>
      <c r="I827" s="323"/>
    </row>
    <row r="828" spans="1:9" ht="15.6" x14ac:dyDescent="0.3">
      <c r="A828" s="350" t="s">
        <v>32</v>
      </c>
      <c r="B828" s="349" t="s">
        <v>196</v>
      </c>
      <c r="C828" s="383" t="s">
        <v>4</v>
      </c>
      <c r="D828" s="412">
        <v>8.1</v>
      </c>
      <c r="E828" s="321">
        <f>+'especiales '!D153</f>
        <v>10982.3</v>
      </c>
      <c r="F828" s="322"/>
      <c r="G828" s="322">
        <f t="shared" si="220"/>
        <v>88956.62999999999</v>
      </c>
      <c r="H828" s="322"/>
      <c r="I828" s="323"/>
    </row>
    <row r="829" spans="1:9" ht="31.2" x14ac:dyDescent="0.3">
      <c r="A829" s="350" t="s">
        <v>32</v>
      </c>
      <c r="B829" s="349" t="s">
        <v>197</v>
      </c>
      <c r="C829" s="383" t="s">
        <v>90</v>
      </c>
      <c r="D829" s="412">
        <f>48*0.4</f>
        <v>19.200000000000003</v>
      </c>
      <c r="E829" s="321">
        <f>+'especiales '!D154</f>
        <v>4905.7</v>
      </c>
      <c r="F829" s="322"/>
      <c r="G829" s="322">
        <f t="shared" si="220"/>
        <v>94189.440000000017</v>
      </c>
      <c r="H829" s="322"/>
      <c r="I829" s="323"/>
    </row>
    <row r="830" spans="1:9" ht="15.6" x14ac:dyDescent="0.3">
      <c r="A830" s="350"/>
      <c r="B830" s="349"/>
      <c r="C830" s="351"/>
      <c r="D830" s="412"/>
      <c r="E830" s="321"/>
      <c r="F830" s="322" t="str">
        <f t="shared" si="219"/>
        <v/>
      </c>
      <c r="G830" s="322" t="str">
        <f t="shared" si="220"/>
        <v/>
      </c>
      <c r="H830" s="322" t="str">
        <f t="shared" si="221"/>
        <v/>
      </c>
      <c r="I830" s="323" t="str">
        <f t="shared" si="222"/>
        <v/>
      </c>
    </row>
    <row r="831" spans="1:9" ht="15.6" x14ac:dyDescent="0.3">
      <c r="A831" s="350" t="s">
        <v>24</v>
      </c>
      <c r="B831" s="349" t="s">
        <v>49</v>
      </c>
      <c r="C831" s="351" t="s">
        <v>36</v>
      </c>
      <c r="D831" s="412">
        <v>0.17</v>
      </c>
      <c r="E831" s="321">
        <f>+'especiales '!D156</f>
        <v>144367.4</v>
      </c>
      <c r="F831" s="322">
        <f t="shared" si="219"/>
        <v>24542.458000000002</v>
      </c>
      <c r="G831" s="322" t="str">
        <f t="shared" si="220"/>
        <v/>
      </c>
      <c r="H831" s="322" t="str">
        <f t="shared" si="221"/>
        <v/>
      </c>
      <c r="I831" s="323" t="str">
        <f t="shared" si="222"/>
        <v/>
      </c>
    </row>
    <row r="832" spans="1:9" ht="15.6" x14ac:dyDescent="0.3">
      <c r="A832" s="350" t="s">
        <v>24</v>
      </c>
      <c r="B832" s="349" t="s">
        <v>50</v>
      </c>
      <c r="C832" s="351" t="s">
        <v>36</v>
      </c>
      <c r="D832" s="412">
        <v>0.17</v>
      </c>
      <c r="E832" s="321">
        <f>+'especiales '!D157</f>
        <v>217622.5</v>
      </c>
      <c r="F832" s="322">
        <f t="shared" si="219"/>
        <v>36995.825000000004</v>
      </c>
      <c r="G832" s="322" t="str">
        <f t="shared" si="220"/>
        <v/>
      </c>
      <c r="H832" s="322" t="str">
        <f t="shared" si="221"/>
        <v/>
      </c>
      <c r="I832" s="323" t="str">
        <f t="shared" si="222"/>
        <v/>
      </c>
    </row>
    <row r="833" spans="1:9" ht="15.6" x14ac:dyDescent="0.3">
      <c r="A833" s="350" t="s">
        <v>24</v>
      </c>
      <c r="B833" s="349" t="s">
        <v>51</v>
      </c>
      <c r="C833" s="351" t="s">
        <v>36</v>
      </c>
      <c r="D833" s="412">
        <v>0.17</v>
      </c>
      <c r="E833" s="321">
        <f>+'especiales '!D158</f>
        <v>101284</v>
      </c>
      <c r="F833" s="322">
        <f t="shared" si="219"/>
        <v>17218.280000000002</v>
      </c>
      <c r="G833" s="322" t="str">
        <f t="shared" si="220"/>
        <v/>
      </c>
      <c r="H833" s="322" t="str">
        <f t="shared" si="221"/>
        <v/>
      </c>
      <c r="I833" s="323" t="str">
        <f t="shared" si="222"/>
        <v/>
      </c>
    </row>
    <row r="834" spans="1:9" ht="15.6" x14ac:dyDescent="0.3">
      <c r="A834" s="350" t="s">
        <v>24</v>
      </c>
      <c r="B834" s="349" t="s">
        <v>60</v>
      </c>
      <c r="C834" s="351" t="s">
        <v>36</v>
      </c>
      <c r="D834" s="412">
        <v>0.17</v>
      </c>
      <c r="E834" s="321">
        <f>+'especiales '!D159</f>
        <v>104600.4</v>
      </c>
      <c r="F834" s="322">
        <f t="shared" si="219"/>
        <v>17782.067999999999</v>
      </c>
      <c r="G834" s="322" t="str">
        <f t="shared" si="220"/>
        <v/>
      </c>
      <c r="H834" s="322" t="str">
        <f t="shared" si="221"/>
        <v/>
      </c>
      <c r="I834" s="323" t="str">
        <f t="shared" si="222"/>
        <v/>
      </c>
    </row>
    <row r="835" spans="1:9" ht="15.6" x14ac:dyDescent="0.3">
      <c r="A835" s="350" t="s">
        <v>24</v>
      </c>
      <c r="B835" s="349" t="s">
        <v>52</v>
      </c>
      <c r="C835" s="351" t="s">
        <v>36</v>
      </c>
      <c r="D835" s="412">
        <v>0.17</v>
      </c>
      <c r="E835" s="321">
        <f>+'especiales '!D160</f>
        <v>104600.4</v>
      </c>
      <c r="F835" s="322">
        <f t="shared" si="219"/>
        <v>17782.067999999999</v>
      </c>
      <c r="G835" s="322" t="str">
        <f t="shared" si="220"/>
        <v/>
      </c>
      <c r="H835" s="322" t="str">
        <f t="shared" si="221"/>
        <v/>
      </c>
      <c r="I835" s="323" t="str">
        <f t="shared" si="222"/>
        <v/>
      </c>
    </row>
    <row r="836" spans="1:9" ht="15.6" x14ac:dyDescent="0.3">
      <c r="A836" s="350" t="s">
        <v>24</v>
      </c>
      <c r="B836" s="349" t="s">
        <v>61</v>
      </c>
      <c r="C836" s="351" t="s">
        <v>36</v>
      </c>
      <c r="D836" s="412">
        <v>0.17</v>
      </c>
      <c r="E836" s="321">
        <f>+'especiales '!D161</f>
        <v>104600.4</v>
      </c>
      <c r="F836" s="322">
        <f t="shared" si="219"/>
        <v>17782.067999999999</v>
      </c>
      <c r="G836" s="322" t="str">
        <f t="shared" si="220"/>
        <v/>
      </c>
      <c r="H836" s="322" t="str">
        <f t="shared" si="221"/>
        <v/>
      </c>
      <c r="I836" s="323" t="str">
        <f t="shared" si="222"/>
        <v/>
      </c>
    </row>
    <row r="837" spans="1:9" ht="15.6" x14ac:dyDescent="0.3">
      <c r="A837" s="350" t="s">
        <v>24</v>
      </c>
      <c r="B837" s="349" t="s">
        <v>54</v>
      </c>
      <c r="C837" s="351" t="s">
        <v>36</v>
      </c>
      <c r="D837" s="412">
        <v>0.17</v>
      </c>
      <c r="E837" s="321">
        <f>+'especiales '!D162</f>
        <v>191459.9</v>
      </c>
      <c r="F837" s="322">
        <f t="shared" si="219"/>
        <v>32548.183000000001</v>
      </c>
      <c r="G837" s="322" t="str">
        <f t="shared" si="220"/>
        <v/>
      </c>
      <c r="H837" s="322" t="str">
        <f t="shared" si="221"/>
        <v/>
      </c>
      <c r="I837" s="323" t="str">
        <f t="shared" si="222"/>
        <v/>
      </c>
    </row>
    <row r="838" spans="1:9" ht="15.6" x14ac:dyDescent="0.3">
      <c r="A838" s="350" t="s">
        <v>24</v>
      </c>
      <c r="B838" s="349" t="s">
        <v>55</v>
      </c>
      <c r="C838" s="351" t="s">
        <v>36</v>
      </c>
      <c r="D838" s="412">
        <v>0.17</v>
      </c>
      <c r="E838" s="321">
        <f>+'especiales '!D163</f>
        <v>191459.9</v>
      </c>
      <c r="F838" s="322">
        <f t="shared" si="219"/>
        <v>32548.183000000001</v>
      </c>
      <c r="G838" s="322" t="str">
        <f t="shared" si="220"/>
        <v/>
      </c>
      <c r="H838" s="322" t="str">
        <f t="shared" si="221"/>
        <v/>
      </c>
      <c r="I838" s="323" t="str">
        <f t="shared" si="222"/>
        <v/>
      </c>
    </row>
    <row r="839" spans="1:9" ht="15.6" x14ac:dyDescent="0.3">
      <c r="A839" s="350" t="s">
        <v>24</v>
      </c>
      <c r="B839" s="349" t="s">
        <v>56</v>
      </c>
      <c r="C839" s="351" t="s">
        <v>36</v>
      </c>
      <c r="D839" s="412">
        <v>0.17</v>
      </c>
      <c r="E839" s="321">
        <f>+'especiales '!D164</f>
        <v>104600.4</v>
      </c>
      <c r="F839" s="322">
        <f t="shared" si="219"/>
        <v>17782.067999999999</v>
      </c>
      <c r="G839" s="322" t="str">
        <f t="shared" si="220"/>
        <v/>
      </c>
      <c r="H839" s="322" t="str">
        <f t="shared" si="221"/>
        <v/>
      </c>
      <c r="I839" s="323" t="str">
        <f t="shared" si="222"/>
        <v/>
      </c>
    </row>
    <row r="840" spans="1:9" ht="15.6" x14ac:dyDescent="0.3">
      <c r="A840" s="350"/>
      <c r="B840" s="319"/>
      <c r="C840" s="351"/>
      <c r="D840" s="412"/>
      <c r="E840" s="321"/>
      <c r="F840" s="322" t="str">
        <f t="shared" si="219"/>
        <v/>
      </c>
      <c r="G840" s="322" t="str">
        <f t="shared" si="220"/>
        <v/>
      </c>
      <c r="H840" s="322" t="str">
        <f t="shared" si="221"/>
        <v/>
      </c>
      <c r="I840" s="323" t="str">
        <f t="shared" si="222"/>
        <v/>
      </c>
    </row>
    <row r="841" spans="1:9" ht="16.2" thickBot="1" x14ac:dyDescent="0.35">
      <c r="A841" s="342"/>
      <c r="B841" s="343" t="s">
        <v>31</v>
      </c>
      <c r="C841" s="344">
        <f>ROUND(SUM(F841:I841),0)</f>
        <v>1456949</v>
      </c>
      <c r="D841" s="522" t="str">
        <f>+C809</f>
        <v>m3</v>
      </c>
      <c r="E841" s="345"/>
      <c r="F841" s="346">
        <f>SUM(F813:F840)</f>
        <v>214981.20099999997</v>
      </c>
      <c r="G841" s="346">
        <f>SUM(G813:G840)</f>
        <v>1037801.6551522334</v>
      </c>
      <c r="H841" s="346">
        <f>SUM(H813:H840)</f>
        <v>204166.426006886</v>
      </c>
      <c r="I841" s="352">
        <f>SUM(I813:I840)</f>
        <v>0</v>
      </c>
    </row>
    <row r="842" spans="1:9" ht="16.8" thickTop="1" thickBot="1" x14ac:dyDescent="0.35">
      <c r="A842" s="250"/>
      <c r="B842" s="250"/>
      <c r="C842" s="251"/>
      <c r="D842" s="252"/>
      <c r="E842" s="253"/>
      <c r="F842" s="254"/>
      <c r="G842" s="254"/>
      <c r="H842" s="254"/>
      <c r="I842" s="254"/>
    </row>
    <row r="843" spans="1:9" ht="16.2" thickTop="1" x14ac:dyDescent="0.3">
      <c r="A843" s="854" t="s">
        <v>35</v>
      </c>
      <c r="B843" s="855"/>
      <c r="C843" s="943" t="s">
        <v>96</v>
      </c>
      <c r="D843" s="944"/>
      <c r="E843" s="944"/>
      <c r="F843" s="944"/>
      <c r="G843" s="944"/>
      <c r="H843" s="944"/>
      <c r="I843" s="945"/>
    </row>
    <row r="844" spans="1:9" ht="39.75" customHeight="1" x14ac:dyDescent="0.3">
      <c r="A844" s="858" t="s">
        <v>12</v>
      </c>
      <c r="B844" s="859"/>
      <c r="C844" s="948" t="s">
        <v>483</v>
      </c>
      <c r="D844" s="949"/>
      <c r="E844" s="949"/>
      <c r="F844" s="949"/>
      <c r="G844" s="949"/>
      <c r="H844" s="949"/>
      <c r="I844" s="950"/>
    </row>
    <row r="845" spans="1:9" ht="15.6" x14ac:dyDescent="0.3">
      <c r="A845" s="858" t="s">
        <v>13</v>
      </c>
      <c r="B845" s="859"/>
      <c r="C845" s="948" t="s">
        <v>7</v>
      </c>
      <c r="D845" s="949"/>
      <c r="E845" s="949"/>
      <c r="F845" s="949"/>
      <c r="G845" s="949"/>
      <c r="H845" s="949"/>
      <c r="I845" s="950"/>
    </row>
    <row r="846" spans="1:9" ht="15.6" x14ac:dyDescent="0.3">
      <c r="A846" s="862" t="s">
        <v>14</v>
      </c>
      <c r="B846" s="848" t="s">
        <v>15</v>
      </c>
      <c r="C846" s="864" t="s">
        <v>16</v>
      </c>
      <c r="D846" s="866" t="s">
        <v>17</v>
      </c>
      <c r="E846" s="868" t="s">
        <v>18</v>
      </c>
      <c r="F846" s="955" t="s">
        <v>19</v>
      </c>
      <c r="G846" s="956"/>
      <c r="H846" s="956"/>
      <c r="I846" s="957"/>
    </row>
    <row r="847" spans="1:9" ht="36.75" customHeight="1" thickBot="1" x14ac:dyDescent="0.35">
      <c r="A847" s="863"/>
      <c r="B847" s="864"/>
      <c r="C847" s="952"/>
      <c r="D847" s="953"/>
      <c r="E847" s="954"/>
      <c r="F847" s="480" t="s">
        <v>20</v>
      </c>
      <c r="G847" s="480" t="s">
        <v>21</v>
      </c>
      <c r="H847" s="480" t="s">
        <v>22</v>
      </c>
      <c r="I847" s="14" t="s">
        <v>23</v>
      </c>
    </row>
    <row r="848" spans="1:9" ht="16.8" thickTop="1" thickBot="1" x14ac:dyDescent="0.35">
      <c r="A848" s="99"/>
      <c r="B848" s="99"/>
      <c r="C848" s="99"/>
      <c r="D848" s="526"/>
      <c r="E848" s="100"/>
      <c r="F848" s="99"/>
      <c r="G848" s="99"/>
      <c r="H848" s="99"/>
      <c r="I848" s="99"/>
    </row>
    <row r="849" spans="1:9" ht="31.8" thickTop="1" x14ac:dyDescent="0.3">
      <c r="A849" s="602" t="s">
        <v>32</v>
      </c>
      <c r="B849" s="603" t="s">
        <v>79</v>
      </c>
      <c r="C849" s="716" t="s">
        <v>839</v>
      </c>
      <c r="D849" s="605">
        <v>1.1000000000000001</v>
      </c>
      <c r="E849" s="606">
        <f>(356000+43000)*1.19*1.038</f>
        <v>492852.78</v>
      </c>
      <c r="F849" s="607" t="str">
        <f t="shared" ref="F849" si="223">IF(A849="MO",D849*E849,"")</f>
        <v/>
      </c>
      <c r="G849" s="607">
        <f t="shared" ref="G849" si="224">IF(A849="MA",D849*E849,"")</f>
        <v>542138.05800000008</v>
      </c>
      <c r="H849" s="607" t="str">
        <f t="shared" ref="H849" si="225">IF(A849="HE",D849*E849,"")</f>
        <v/>
      </c>
      <c r="I849" s="608" t="str">
        <f t="shared" ref="I849" si="226">IF(A849="OT",D849*E849,"")</f>
        <v/>
      </c>
    </row>
    <row r="850" spans="1:9" ht="15.6" x14ac:dyDescent="0.3">
      <c r="A850" s="375" t="s">
        <v>29</v>
      </c>
      <c r="B850" s="377" t="s">
        <v>304</v>
      </c>
      <c r="C850" s="383" t="s">
        <v>289</v>
      </c>
      <c r="D850" s="520">
        <v>2.4</v>
      </c>
      <c r="E850" s="321">
        <f>+$C$990</f>
        <v>8250.6174612024897</v>
      </c>
      <c r="F850" s="322" t="str">
        <f t="shared" ref="F850" si="227">IF(A850="MO",D850*E850,"")</f>
        <v/>
      </c>
      <c r="G850" s="322" t="str">
        <f t="shared" ref="G850" si="228">IF(A850="MA",D850*E850,"")</f>
        <v/>
      </c>
      <c r="H850" s="322">
        <f t="shared" ref="H850" si="229">IF(A850="HE",D850*E850,"")</f>
        <v>19801.481906885976</v>
      </c>
      <c r="I850" s="323" t="str">
        <f t="shared" ref="I850" si="230">IF(A850="OT",D850*E850,"")</f>
        <v/>
      </c>
    </row>
    <row r="851" spans="1:9" ht="15.6" x14ac:dyDescent="0.3">
      <c r="A851" s="375" t="s">
        <v>32</v>
      </c>
      <c r="B851" s="377" t="s">
        <v>97</v>
      </c>
      <c r="C851" s="383" t="s">
        <v>4</v>
      </c>
      <c r="D851" s="520">
        <v>10</v>
      </c>
      <c r="E851" s="367">
        <f>+'especiales '!D169</f>
        <v>8836.2999999999993</v>
      </c>
      <c r="F851" s="322" t="str">
        <f t="shared" ref="F851:F859" si="231">IF(A851="MO",D851*E851,"")</f>
        <v/>
      </c>
      <c r="G851" s="322">
        <f t="shared" ref="G851:G859" si="232">IF(A851="MA",D851*E851,"")</f>
        <v>88363</v>
      </c>
      <c r="H851" s="322" t="str">
        <f t="shared" ref="H851:H859" si="233">IF(A851="HE",D851*E851,"")</f>
        <v/>
      </c>
      <c r="I851" s="323" t="str">
        <f t="shared" ref="I851:I859" si="234">IF(A851="OT",D851*E851,"")</f>
        <v/>
      </c>
    </row>
    <row r="852" spans="1:9" ht="15.75" customHeight="1" x14ac:dyDescent="0.3">
      <c r="A852" s="19" t="s">
        <v>32</v>
      </c>
      <c r="B852" s="13" t="s">
        <v>98</v>
      </c>
      <c r="C852" s="12" t="s">
        <v>5</v>
      </c>
      <c r="D852" s="523">
        <v>6</v>
      </c>
      <c r="E852" s="20">
        <v>3266.6666666666665</v>
      </c>
      <c r="F852" s="21" t="str">
        <f t="shared" si="231"/>
        <v/>
      </c>
      <c r="G852" s="21">
        <f t="shared" si="232"/>
        <v>19600</v>
      </c>
      <c r="H852" s="21" t="str">
        <f t="shared" si="233"/>
        <v/>
      </c>
      <c r="I852" s="22" t="str">
        <f t="shared" si="234"/>
        <v/>
      </c>
    </row>
    <row r="853" spans="1:9" ht="15.6" x14ac:dyDescent="0.3">
      <c r="A853" s="19" t="s">
        <v>32</v>
      </c>
      <c r="B853" s="13" t="s">
        <v>99</v>
      </c>
      <c r="C853" s="12" t="s">
        <v>5</v>
      </c>
      <c r="D853" s="523">
        <v>9</v>
      </c>
      <c r="E853" s="20">
        <v>2255.6666666666665</v>
      </c>
      <c r="F853" s="21" t="str">
        <f t="shared" si="231"/>
        <v/>
      </c>
      <c r="G853" s="21">
        <f t="shared" si="232"/>
        <v>20301</v>
      </c>
      <c r="H853" s="21" t="str">
        <f t="shared" si="233"/>
        <v/>
      </c>
      <c r="I853" s="22" t="str">
        <f t="shared" si="234"/>
        <v/>
      </c>
    </row>
    <row r="854" spans="1:9" ht="15.6" x14ac:dyDescent="0.3">
      <c r="A854" s="19" t="s">
        <v>32</v>
      </c>
      <c r="B854" s="13" t="s">
        <v>100</v>
      </c>
      <c r="C854" s="12" t="s">
        <v>101</v>
      </c>
      <c r="D854" s="523">
        <v>2</v>
      </c>
      <c r="E854" s="20">
        <v>2850</v>
      </c>
      <c r="F854" s="21" t="str">
        <f t="shared" si="231"/>
        <v/>
      </c>
      <c r="G854" s="21">
        <f t="shared" si="232"/>
        <v>5700</v>
      </c>
      <c r="H854" s="21" t="str">
        <f t="shared" si="233"/>
        <v/>
      </c>
      <c r="I854" s="22" t="str">
        <f t="shared" si="234"/>
        <v/>
      </c>
    </row>
    <row r="855" spans="1:9" ht="15.6" x14ac:dyDescent="0.3">
      <c r="A855" s="19" t="s">
        <v>32</v>
      </c>
      <c r="B855" s="13" t="s">
        <v>41</v>
      </c>
      <c r="C855" s="12" t="s">
        <v>102</v>
      </c>
      <c r="D855" s="523">
        <v>1</v>
      </c>
      <c r="E855" s="20">
        <v>8923</v>
      </c>
      <c r="F855" s="21" t="str">
        <f t="shared" si="231"/>
        <v/>
      </c>
      <c r="G855" s="21">
        <f t="shared" si="232"/>
        <v>8923</v>
      </c>
      <c r="H855" s="21" t="str">
        <f t="shared" si="233"/>
        <v/>
      </c>
      <c r="I855" s="22" t="str">
        <f t="shared" si="234"/>
        <v/>
      </c>
    </row>
    <row r="856" spans="1:9" ht="15.6" x14ac:dyDescent="0.3">
      <c r="A856" s="350" t="s">
        <v>32</v>
      </c>
      <c r="B856" s="349" t="s">
        <v>103</v>
      </c>
      <c r="C856" s="351" t="s">
        <v>5</v>
      </c>
      <c r="D856" s="412">
        <v>3</v>
      </c>
      <c r="E856" s="321">
        <v>1200</v>
      </c>
      <c r="F856" s="322" t="str">
        <f t="shared" si="231"/>
        <v/>
      </c>
      <c r="G856" s="322">
        <f t="shared" si="232"/>
        <v>3600</v>
      </c>
      <c r="H856" s="322" t="str">
        <f t="shared" si="233"/>
        <v/>
      </c>
      <c r="I856" s="323" t="str">
        <f t="shared" si="234"/>
        <v/>
      </c>
    </row>
    <row r="857" spans="1:9" ht="15.6" x14ac:dyDescent="0.3">
      <c r="A857" s="19" t="s">
        <v>24</v>
      </c>
      <c r="B857" s="13" t="s">
        <v>824</v>
      </c>
      <c r="C857" s="12" t="s">
        <v>25</v>
      </c>
      <c r="D857" s="523">
        <v>0.45</v>
      </c>
      <c r="E857" s="20">
        <f>+'M.O 2020'!B16</f>
        <v>472384</v>
      </c>
      <c r="F857" s="21">
        <f t="shared" si="231"/>
        <v>212572.80000000002</v>
      </c>
      <c r="G857" s="21" t="str">
        <f t="shared" si="232"/>
        <v/>
      </c>
      <c r="H857" s="21" t="str">
        <f t="shared" si="233"/>
        <v/>
      </c>
      <c r="I857" s="22" t="str">
        <f t="shared" si="234"/>
        <v/>
      </c>
    </row>
    <row r="858" spans="1:9" ht="15.6" x14ac:dyDescent="0.3">
      <c r="A858" s="19" t="s">
        <v>29</v>
      </c>
      <c r="B858" s="13" t="s">
        <v>30</v>
      </c>
      <c r="C858" s="12" t="s">
        <v>28</v>
      </c>
      <c r="D858" s="523">
        <v>0.05</v>
      </c>
      <c r="E858" s="20">
        <f>F857</f>
        <v>212572.80000000002</v>
      </c>
      <c r="F858" s="21" t="str">
        <f t="shared" si="231"/>
        <v/>
      </c>
      <c r="G858" s="21" t="str">
        <f t="shared" si="232"/>
        <v/>
      </c>
      <c r="H858" s="21">
        <f t="shared" si="233"/>
        <v>10628.640000000001</v>
      </c>
      <c r="I858" s="22" t="str">
        <f t="shared" si="234"/>
        <v/>
      </c>
    </row>
    <row r="859" spans="1:9" ht="15.6" x14ac:dyDescent="0.3">
      <c r="A859" s="19"/>
      <c r="B859" s="488"/>
      <c r="C859" s="12"/>
      <c r="D859" s="523"/>
      <c r="E859" s="20"/>
      <c r="F859" s="21" t="str">
        <f t="shared" si="231"/>
        <v/>
      </c>
      <c r="G859" s="21" t="str">
        <f t="shared" si="232"/>
        <v/>
      </c>
      <c r="H859" s="21" t="str">
        <f t="shared" si="233"/>
        <v/>
      </c>
      <c r="I859" s="22" t="str">
        <f t="shared" si="234"/>
        <v/>
      </c>
    </row>
    <row r="860" spans="1:9" ht="16.2" thickBot="1" x14ac:dyDescent="0.35">
      <c r="A860" s="23"/>
      <c r="B860" s="24" t="s">
        <v>31</v>
      </c>
      <c r="C860" s="25">
        <f>ROUND(SUM(F860:I860),0)</f>
        <v>931628</v>
      </c>
      <c r="D860" s="516" t="str">
        <f>+C845</f>
        <v>m3</v>
      </c>
      <c r="E860" s="26"/>
      <c r="F860" s="27">
        <f>SUM(F849:F859)</f>
        <v>212572.80000000002</v>
      </c>
      <c r="G860" s="27">
        <f>SUM(G849:G859)</f>
        <v>688625.05800000008</v>
      </c>
      <c r="H860" s="27">
        <f>SUM(H849:H859)</f>
        <v>30430.121906885979</v>
      </c>
      <c r="I860" s="28">
        <f>SUM(I849:I859)</f>
        <v>0</v>
      </c>
    </row>
    <row r="861" spans="1:9" ht="15.75" customHeight="1" thickTop="1" thickBot="1" x14ac:dyDescent="0.35"/>
    <row r="862" spans="1:9" ht="16.2" thickTop="1" x14ac:dyDescent="0.3">
      <c r="A862" s="854" t="s">
        <v>35</v>
      </c>
      <c r="B862" s="855"/>
      <c r="C862" s="943" t="s">
        <v>317</v>
      </c>
      <c r="D862" s="944"/>
      <c r="E862" s="944"/>
      <c r="F862" s="944"/>
      <c r="G862" s="944"/>
      <c r="H862" s="944"/>
      <c r="I862" s="945"/>
    </row>
    <row r="863" spans="1:9" ht="15.6" x14ac:dyDescent="0.3">
      <c r="A863" s="858" t="s">
        <v>12</v>
      </c>
      <c r="B863" s="859"/>
      <c r="C863" s="948" t="s">
        <v>318</v>
      </c>
      <c r="D863" s="949"/>
      <c r="E863" s="949"/>
      <c r="F863" s="949"/>
      <c r="G863" s="949"/>
      <c r="H863" s="949"/>
      <c r="I863" s="950"/>
    </row>
    <row r="864" spans="1:9" ht="15.6" x14ac:dyDescent="0.3">
      <c r="A864" s="858" t="s">
        <v>13</v>
      </c>
      <c r="B864" s="859"/>
      <c r="C864" s="948" t="s">
        <v>5</v>
      </c>
      <c r="D864" s="949"/>
      <c r="E864" s="949"/>
      <c r="F864" s="949"/>
      <c r="G864" s="949"/>
      <c r="H864" s="949"/>
      <c r="I864" s="950"/>
    </row>
    <row r="865" spans="1:9" ht="15.6" x14ac:dyDescent="0.3">
      <c r="A865" s="862" t="s">
        <v>14</v>
      </c>
      <c r="B865" s="848" t="s">
        <v>15</v>
      </c>
      <c r="C865" s="864" t="s">
        <v>16</v>
      </c>
      <c r="D865" s="866" t="s">
        <v>17</v>
      </c>
      <c r="E865" s="868" t="s">
        <v>18</v>
      </c>
      <c r="F865" s="955" t="s">
        <v>19</v>
      </c>
      <c r="G865" s="956"/>
      <c r="H865" s="956"/>
      <c r="I865" s="957"/>
    </row>
    <row r="866" spans="1:9" ht="15.75" customHeight="1" thickBot="1" x14ac:dyDescent="0.35">
      <c r="A866" s="1099"/>
      <c r="B866" s="1100"/>
      <c r="C866" s="952"/>
      <c r="D866" s="953"/>
      <c r="E866" s="954"/>
      <c r="F866" s="487" t="s">
        <v>20</v>
      </c>
      <c r="G866" s="487" t="s">
        <v>21</v>
      </c>
      <c r="H866" s="487" t="s">
        <v>22</v>
      </c>
      <c r="I866" s="311" t="s">
        <v>23</v>
      </c>
    </row>
    <row r="867" spans="1:9" ht="15.75" customHeight="1" thickTop="1" thickBot="1" x14ac:dyDescent="0.35">
      <c r="A867" s="312"/>
      <c r="B867" s="313"/>
      <c r="C867" s="314"/>
      <c r="D867" s="562"/>
      <c r="E867" s="373"/>
      <c r="F867" s="316"/>
      <c r="G867" s="315"/>
      <c r="H867" s="315"/>
      <c r="I867" s="317"/>
    </row>
    <row r="868" spans="1:9" ht="16.2" thickTop="1" x14ac:dyDescent="0.3">
      <c r="A868" s="698" t="s">
        <v>32</v>
      </c>
      <c r="B868" s="699" t="s">
        <v>319</v>
      </c>
      <c r="C868" s="700" t="s">
        <v>5</v>
      </c>
      <c r="D868" s="678">
        <v>1.01</v>
      </c>
      <c r="E868" s="679">
        <f>580027/30</f>
        <v>19334.233333333334</v>
      </c>
      <c r="F868" s="701" t="str">
        <f>IF(A868="MO",D868*E868,"")</f>
        <v/>
      </c>
      <c r="G868" s="701">
        <f>IF(A868="MA",D868*E868,"")</f>
        <v>19527.575666666668</v>
      </c>
      <c r="H868" s="701" t="str">
        <f>IF(A868="HE",D868*E868,"")</f>
        <v/>
      </c>
      <c r="I868" s="702" t="str">
        <f>IF(A868="OT",D868*E868,"")</f>
        <v/>
      </c>
    </row>
    <row r="869" spans="1:9" ht="15.6" x14ac:dyDescent="0.3">
      <c r="A869" s="703" t="s">
        <v>32</v>
      </c>
      <c r="B869" s="704" t="s">
        <v>108</v>
      </c>
      <c r="C869" s="705" t="s">
        <v>90</v>
      </c>
      <c r="D869" s="689">
        <v>0.04</v>
      </c>
      <c r="E869" s="606">
        <v>4013</v>
      </c>
      <c r="F869" s="706" t="str">
        <f>IF(A869="MO",D869*E869,"")</f>
        <v/>
      </c>
      <c r="G869" s="706">
        <f>IF(A869="MA",D869*E869,"")</f>
        <v>160.52000000000001</v>
      </c>
      <c r="H869" s="706" t="str">
        <f>IF(A869="HE",D869*E869,"")</f>
        <v/>
      </c>
      <c r="I869" s="707" t="str">
        <f>IF(A869="OT",D869*E869,"")</f>
        <v/>
      </c>
    </row>
    <row r="870" spans="1:9" ht="15.6" x14ac:dyDescent="0.3">
      <c r="A870" s="703" t="s">
        <v>24</v>
      </c>
      <c r="B870" s="704" t="s">
        <v>828</v>
      </c>
      <c r="C870" s="705" t="s">
        <v>25</v>
      </c>
      <c r="D870" s="689">
        <v>9.0909090909090912E-2</v>
      </c>
      <c r="E870" s="606">
        <f>+'M.O 2020'!B9</f>
        <v>114496</v>
      </c>
      <c r="F870" s="706">
        <f>IF(A870="MO",D870*E870,"")</f>
        <v>10408.727272727274</v>
      </c>
      <c r="G870" s="706" t="str">
        <f>IF(A870="MA",D870*E870,"")</f>
        <v/>
      </c>
      <c r="H870" s="706" t="str">
        <f>IF(A870="HE",D870*E870,"")</f>
        <v/>
      </c>
      <c r="I870" s="707" t="str">
        <f>IF(A870="OT",D870*E870,"")</f>
        <v/>
      </c>
    </row>
    <row r="871" spans="1:9" ht="15.6" x14ac:dyDescent="0.3">
      <c r="A871" s="703" t="s">
        <v>32</v>
      </c>
      <c r="B871" s="704" t="s">
        <v>320</v>
      </c>
      <c r="C871" s="705" t="s">
        <v>5</v>
      </c>
      <c r="D871" s="689">
        <v>2</v>
      </c>
      <c r="E871" s="690">
        <v>300</v>
      </c>
      <c r="F871" s="706" t="str">
        <f>IF(A871="MO",D871*E871,"")</f>
        <v/>
      </c>
      <c r="G871" s="706">
        <f>IF(A871="MA",D871*E871,"")</f>
        <v>600</v>
      </c>
      <c r="H871" s="706" t="str">
        <f>IF(A871="HE",D871*E871,"")</f>
        <v/>
      </c>
      <c r="I871" s="707" t="str">
        <f>IF(A871="OT",D871*E871,"")</f>
        <v/>
      </c>
    </row>
    <row r="872" spans="1:9" ht="15.6" x14ac:dyDescent="0.3">
      <c r="A872" s="703"/>
      <c r="B872" s="688"/>
      <c r="C872" s="688"/>
      <c r="D872" s="708"/>
      <c r="E872" s="690"/>
      <c r="F872" s="688"/>
      <c r="G872" s="688"/>
      <c r="H872" s="688"/>
      <c r="I872" s="709"/>
    </row>
    <row r="873" spans="1:9" ht="16.2" thickBot="1" x14ac:dyDescent="0.35">
      <c r="A873" s="659"/>
      <c r="B873" s="660" t="s">
        <v>31</v>
      </c>
      <c r="C873" s="661">
        <f>ROUND(SUM(F873:I873),0)</f>
        <v>30697</v>
      </c>
      <c r="D873" s="710" t="s">
        <v>5</v>
      </c>
      <c r="E873" s="711"/>
      <c r="F873" s="664">
        <f>SUM(F866:F872)</f>
        <v>10408.727272727274</v>
      </c>
      <c r="G873" s="664">
        <f>SUM(G866:G872)</f>
        <v>20288.095666666668</v>
      </c>
      <c r="H873" s="664">
        <f>SUM(H866:H872)</f>
        <v>0</v>
      </c>
      <c r="I873" s="665">
        <f>SUM(I866:I872)</f>
        <v>0</v>
      </c>
    </row>
    <row r="874" spans="1:9" ht="15.6" thickTop="1" thickBot="1" x14ac:dyDescent="0.35"/>
    <row r="875" spans="1:9" ht="16.2" thickTop="1" x14ac:dyDescent="0.3">
      <c r="A875" s="854" t="s">
        <v>35</v>
      </c>
      <c r="B875" s="855"/>
      <c r="C875" s="958" t="s">
        <v>321</v>
      </c>
      <c r="D875" s="959"/>
      <c r="E875" s="959"/>
      <c r="F875" s="959"/>
      <c r="G875" s="959"/>
      <c r="H875" s="959"/>
      <c r="I875" s="960"/>
    </row>
    <row r="876" spans="1:9" ht="15.75" customHeight="1" x14ac:dyDescent="0.3">
      <c r="A876" s="858" t="s">
        <v>12</v>
      </c>
      <c r="B876" s="859"/>
      <c r="C876" s="948" t="s">
        <v>322</v>
      </c>
      <c r="D876" s="949"/>
      <c r="E876" s="949"/>
      <c r="F876" s="949"/>
      <c r="G876" s="949"/>
      <c r="H876" s="949"/>
      <c r="I876" s="950"/>
    </row>
    <row r="877" spans="1:9" ht="15.6" x14ac:dyDescent="0.3">
      <c r="A877" s="858" t="s">
        <v>13</v>
      </c>
      <c r="B877" s="859"/>
      <c r="C877" s="948" t="s">
        <v>5</v>
      </c>
      <c r="D877" s="949"/>
      <c r="E877" s="949"/>
      <c r="F877" s="949"/>
      <c r="G877" s="949"/>
      <c r="H877" s="949"/>
      <c r="I877" s="950"/>
    </row>
    <row r="878" spans="1:9" ht="15.6" x14ac:dyDescent="0.3">
      <c r="A878" s="862" t="s">
        <v>14</v>
      </c>
      <c r="B878" s="479" t="s">
        <v>15</v>
      </c>
      <c r="C878" s="864" t="s">
        <v>16</v>
      </c>
      <c r="D878" s="866" t="s">
        <v>17</v>
      </c>
      <c r="E878" s="868" t="s">
        <v>18</v>
      </c>
      <c r="F878" s="955" t="s">
        <v>19</v>
      </c>
      <c r="G878" s="956"/>
      <c r="H878" s="956"/>
      <c r="I878" s="957"/>
    </row>
    <row r="879" spans="1:9" ht="31.8" thickBot="1" x14ac:dyDescent="0.35">
      <c r="A879" s="863"/>
      <c r="B879" s="480"/>
      <c r="C879" s="952"/>
      <c r="D879" s="953"/>
      <c r="E879" s="954"/>
      <c r="F879" s="480" t="s">
        <v>20</v>
      </c>
      <c r="G879" s="480" t="s">
        <v>21</v>
      </c>
      <c r="H879" s="480" t="s">
        <v>22</v>
      </c>
      <c r="I879" s="14" t="s">
        <v>23</v>
      </c>
    </row>
    <row r="880" spans="1:9" ht="16.8" thickTop="1" thickBot="1" x14ac:dyDescent="0.35">
      <c r="A880" s="9"/>
      <c r="B880" s="9"/>
      <c r="C880" s="9"/>
      <c r="D880" s="513"/>
      <c r="E880" s="10"/>
      <c r="F880" s="9"/>
      <c r="G880" s="9"/>
      <c r="H880" s="9"/>
      <c r="I880" s="9"/>
    </row>
    <row r="881" spans="1:9" ht="16.2" thickTop="1" x14ac:dyDescent="0.3">
      <c r="A881" s="712" t="s">
        <v>32</v>
      </c>
      <c r="B881" s="713" t="s">
        <v>323</v>
      </c>
      <c r="C881" s="714" t="s">
        <v>5</v>
      </c>
      <c r="D881" s="595">
        <v>1.05</v>
      </c>
      <c r="E881" s="606">
        <f>588604/15</f>
        <v>39240.26666666667</v>
      </c>
      <c r="F881" s="607" t="str">
        <f t="shared" ref="F881:F887" si="235">IF(A881="MO",D881*E881,"")</f>
        <v/>
      </c>
      <c r="G881" s="607">
        <f t="shared" ref="G881:G887" si="236">IF(A881="MA",D881*E881,"")</f>
        <v>41202.280000000006</v>
      </c>
      <c r="H881" s="607" t="str">
        <f t="shared" ref="H881:H887" si="237">IF(A881="HE",D881*E881,"")</f>
        <v/>
      </c>
      <c r="I881" s="608" t="str">
        <f t="shared" ref="I881:I887" si="238">IF(A881="OT",D881*E881,"")</f>
        <v/>
      </c>
    </row>
    <row r="882" spans="1:9" ht="15.6" x14ac:dyDescent="0.3">
      <c r="A882" s="581" t="s">
        <v>32</v>
      </c>
      <c r="B882" s="582" t="s">
        <v>324</v>
      </c>
      <c r="C882" s="715" t="s">
        <v>325</v>
      </c>
      <c r="D882" s="598">
        <v>1.04</v>
      </c>
      <c r="E882" s="585">
        <f>21460*1.06*1.0318*1.038</f>
        <v>24362.870679840005</v>
      </c>
      <c r="F882" s="586" t="str">
        <f t="shared" si="235"/>
        <v/>
      </c>
      <c r="G882" s="586">
        <f t="shared" si="236"/>
        <v>25337.385507033607</v>
      </c>
      <c r="H882" s="586" t="str">
        <f t="shared" si="237"/>
        <v/>
      </c>
      <c r="I882" s="587" t="str">
        <f t="shared" si="238"/>
        <v/>
      </c>
    </row>
    <row r="883" spans="1:9" ht="15.6" x14ac:dyDescent="0.3">
      <c r="A883" s="318" t="s">
        <v>24</v>
      </c>
      <c r="B883" s="363" t="s">
        <v>233</v>
      </c>
      <c r="C883" s="364" t="s">
        <v>25</v>
      </c>
      <c r="D883" s="560">
        <v>8.0421999999999993E-2</v>
      </c>
      <c r="E883" s="321">
        <f>+'M.O 2020'!B10</f>
        <v>175344</v>
      </c>
      <c r="F883" s="322">
        <f t="shared" si="235"/>
        <v>14101.515167999998</v>
      </c>
      <c r="G883" s="322" t="str">
        <f t="shared" si="236"/>
        <v/>
      </c>
      <c r="H883" s="322" t="str">
        <f t="shared" si="237"/>
        <v/>
      </c>
      <c r="I883" s="587" t="str">
        <f t="shared" si="238"/>
        <v/>
      </c>
    </row>
    <row r="884" spans="1:9" ht="15.6" x14ac:dyDescent="0.3">
      <c r="A884" s="318" t="s">
        <v>29</v>
      </c>
      <c r="B884" s="363" t="s">
        <v>326</v>
      </c>
      <c r="C884" s="364" t="s">
        <v>28</v>
      </c>
      <c r="D884" s="563">
        <v>0.05</v>
      </c>
      <c r="E884" s="321">
        <f>F883</f>
        <v>14101.515167999998</v>
      </c>
      <c r="F884" s="322" t="str">
        <f t="shared" si="235"/>
        <v/>
      </c>
      <c r="G884" s="322" t="str">
        <f t="shared" si="236"/>
        <v/>
      </c>
      <c r="H884" s="322">
        <f t="shared" si="237"/>
        <v>705.07575839999993</v>
      </c>
      <c r="I884" s="323" t="str">
        <f t="shared" si="238"/>
        <v/>
      </c>
    </row>
    <row r="885" spans="1:9" ht="32.25" customHeight="1" x14ac:dyDescent="0.3">
      <c r="A885" s="318" t="s">
        <v>26</v>
      </c>
      <c r="B885" s="363" t="s">
        <v>27</v>
      </c>
      <c r="C885" s="364" t="s">
        <v>28</v>
      </c>
      <c r="D885" s="563">
        <v>0.02</v>
      </c>
      <c r="E885" s="321">
        <f>F883</f>
        <v>14101.515167999998</v>
      </c>
      <c r="F885" s="322" t="str">
        <f t="shared" si="235"/>
        <v/>
      </c>
      <c r="G885" s="322" t="str">
        <f t="shared" si="236"/>
        <v/>
      </c>
      <c r="H885" s="322" t="str">
        <f t="shared" si="237"/>
        <v/>
      </c>
      <c r="I885" s="323">
        <f t="shared" si="238"/>
        <v>282.03030335999995</v>
      </c>
    </row>
    <row r="886" spans="1:9" ht="15.6" x14ac:dyDescent="0.3">
      <c r="A886" s="318" t="s">
        <v>32</v>
      </c>
      <c r="B886" s="363" t="s">
        <v>327</v>
      </c>
      <c r="C886" s="364" t="s">
        <v>4</v>
      </c>
      <c r="D886" s="563">
        <v>0.2</v>
      </c>
      <c r="E886" s="321">
        <v>6180</v>
      </c>
      <c r="F886" s="322" t="str">
        <f t="shared" si="235"/>
        <v/>
      </c>
      <c r="G886" s="322">
        <f t="shared" si="236"/>
        <v>1236</v>
      </c>
      <c r="H886" s="322" t="str">
        <f t="shared" si="237"/>
        <v/>
      </c>
      <c r="I886" s="323" t="str">
        <f t="shared" si="238"/>
        <v/>
      </c>
    </row>
    <row r="887" spans="1:9" ht="15.6" x14ac:dyDescent="0.3">
      <c r="A887" s="350"/>
      <c r="B887" s="349"/>
      <c r="C887" s="351"/>
      <c r="D887" s="412"/>
      <c r="E887" s="321"/>
      <c r="F887" s="322" t="str">
        <f t="shared" si="235"/>
        <v/>
      </c>
      <c r="G887" s="322" t="str">
        <f t="shared" si="236"/>
        <v/>
      </c>
      <c r="H887" s="322" t="str">
        <f t="shared" si="237"/>
        <v/>
      </c>
      <c r="I887" s="323" t="str">
        <f t="shared" si="238"/>
        <v/>
      </c>
    </row>
    <row r="888" spans="1:9" ht="17.25" customHeight="1" thickBot="1" x14ac:dyDescent="0.35">
      <c r="A888" s="342"/>
      <c r="B888" s="343" t="s">
        <v>31</v>
      </c>
      <c r="C888" s="344">
        <f>ROUND(SUM(F888:I888),0)</f>
        <v>82864</v>
      </c>
      <c r="D888" s="522" t="str">
        <f>+C877</f>
        <v>m</v>
      </c>
      <c r="E888" s="345"/>
      <c r="F888" s="346">
        <f>SUM(F881:F887)</f>
        <v>14101.515167999998</v>
      </c>
      <c r="G888" s="346">
        <f>SUM(G881:G887)</f>
        <v>67775.665507033613</v>
      </c>
      <c r="H888" s="346">
        <f>SUM(H881:H887)</f>
        <v>705.07575839999993</v>
      </c>
      <c r="I888" s="393">
        <f>SUM(I881:I887)</f>
        <v>282.03030335999995</v>
      </c>
    </row>
    <row r="889" spans="1:9" ht="15.6" thickTop="1" thickBot="1" x14ac:dyDescent="0.35"/>
    <row r="890" spans="1:9" ht="16.2" thickTop="1" x14ac:dyDescent="0.3">
      <c r="A890" s="870" t="s">
        <v>35</v>
      </c>
      <c r="B890" s="871"/>
      <c r="C890" s="872" t="s">
        <v>396</v>
      </c>
      <c r="D890" s="873"/>
      <c r="E890" s="873"/>
      <c r="F890" s="873"/>
      <c r="G890" s="873"/>
      <c r="H890" s="873"/>
      <c r="I890" s="874"/>
    </row>
    <row r="891" spans="1:9" ht="15.6" x14ac:dyDescent="0.3">
      <c r="A891" s="875" t="s">
        <v>12</v>
      </c>
      <c r="B891" s="876"/>
      <c r="C891" s="877" t="s">
        <v>410</v>
      </c>
      <c r="D891" s="878"/>
      <c r="E891" s="878"/>
      <c r="F891" s="878"/>
      <c r="G891" s="878"/>
      <c r="H891" s="878"/>
      <c r="I891" s="879"/>
    </row>
    <row r="892" spans="1:9" ht="15.6" x14ac:dyDescent="0.3">
      <c r="A892" s="875" t="s">
        <v>13</v>
      </c>
      <c r="B892" s="876"/>
      <c r="C892" s="877" t="s">
        <v>235</v>
      </c>
      <c r="D892" s="878"/>
      <c r="E892" s="878"/>
      <c r="F892" s="878"/>
      <c r="G892" s="878"/>
      <c r="H892" s="878"/>
      <c r="I892" s="879"/>
    </row>
    <row r="893" spans="1:9" ht="15.6" x14ac:dyDescent="0.3">
      <c r="A893" s="880" t="s">
        <v>14</v>
      </c>
      <c r="B893" s="882" t="s">
        <v>15</v>
      </c>
      <c r="C893" s="883" t="s">
        <v>16</v>
      </c>
      <c r="D893" s="885" t="s">
        <v>17</v>
      </c>
      <c r="E893" s="887" t="s">
        <v>18</v>
      </c>
      <c r="F893" s="889" t="s">
        <v>19</v>
      </c>
      <c r="G893" s="890"/>
      <c r="H893" s="890"/>
      <c r="I893" s="891"/>
    </row>
    <row r="894" spans="1:9" ht="31.8" thickBot="1" x14ac:dyDescent="0.35">
      <c r="A894" s="881"/>
      <c r="B894" s="883"/>
      <c r="C894" s="884"/>
      <c r="D894" s="886"/>
      <c r="E894" s="888"/>
      <c r="F894" s="365" t="s">
        <v>20</v>
      </c>
      <c r="G894" s="365" t="s">
        <v>21</v>
      </c>
      <c r="H894" s="365" t="s">
        <v>22</v>
      </c>
      <c r="I894" s="366" t="s">
        <v>23</v>
      </c>
    </row>
    <row r="895" spans="1:9" ht="16.8" thickTop="1" thickBot="1" x14ac:dyDescent="0.35">
      <c r="A895" s="98"/>
      <c r="B895" s="99"/>
      <c r="C895" s="99"/>
      <c r="D895" s="526"/>
      <c r="E895" s="100"/>
      <c r="F895" s="99"/>
      <c r="G895" s="99"/>
      <c r="H895" s="99"/>
      <c r="I895" s="101"/>
    </row>
    <row r="896" spans="1:9" ht="16.2" thickTop="1" x14ac:dyDescent="0.3">
      <c r="A896" s="351" t="s">
        <v>32</v>
      </c>
      <c r="B896" s="349" t="s">
        <v>397</v>
      </c>
      <c r="C896" s="351" t="s">
        <v>90</v>
      </c>
      <c r="D896" s="564">
        <v>1.01</v>
      </c>
      <c r="E896" s="367">
        <f>+E460</f>
        <v>3958</v>
      </c>
      <c r="F896" s="322" t="str">
        <f t="shared" ref="F896:F911" si="239">IF(A896="MO",D896*E896,"")</f>
        <v/>
      </c>
      <c r="G896" s="322">
        <f t="shared" ref="G896:G911" si="240">IF(A896="MA",D896*E896,"")</f>
        <v>3997.58</v>
      </c>
      <c r="H896" s="322" t="str">
        <f t="shared" ref="H896:H911" si="241">IF(A896="HE",D896*E896,"")</f>
        <v/>
      </c>
      <c r="I896" s="323" t="str">
        <f t="shared" ref="I896:I911" si="242">IF(A896="OT",D896*E896,"")</f>
        <v/>
      </c>
    </row>
    <row r="897" spans="1:9" ht="15.6" x14ac:dyDescent="0.3">
      <c r="A897" s="351" t="s">
        <v>32</v>
      </c>
      <c r="B897" s="349" t="s">
        <v>398</v>
      </c>
      <c r="C897" s="351" t="s">
        <v>90</v>
      </c>
      <c r="D897" s="564">
        <v>3.2235</v>
      </c>
      <c r="E897" s="367">
        <f>+E896</f>
        <v>3958</v>
      </c>
      <c r="F897" s="322" t="str">
        <f t="shared" si="239"/>
        <v/>
      </c>
      <c r="G897" s="322">
        <f t="shared" si="240"/>
        <v>12758.612999999999</v>
      </c>
      <c r="H897" s="322" t="str">
        <f t="shared" si="241"/>
        <v/>
      </c>
      <c r="I897" s="323" t="str">
        <f t="shared" si="242"/>
        <v/>
      </c>
    </row>
    <row r="898" spans="1:9" ht="15.6" x14ac:dyDescent="0.3">
      <c r="A898" s="351" t="s">
        <v>32</v>
      </c>
      <c r="B898" s="349" t="s">
        <v>399</v>
      </c>
      <c r="C898" s="351" t="s">
        <v>400</v>
      </c>
      <c r="D898" s="564">
        <v>0.7</v>
      </c>
      <c r="E898" s="367">
        <v>3266.6666666666665</v>
      </c>
      <c r="F898" s="322" t="str">
        <f t="shared" si="239"/>
        <v/>
      </c>
      <c r="G898" s="322">
        <f t="shared" si="240"/>
        <v>2286.6666666666665</v>
      </c>
      <c r="H898" s="322" t="str">
        <f t="shared" si="241"/>
        <v/>
      </c>
      <c r="I898" s="323" t="str">
        <f t="shared" si="242"/>
        <v/>
      </c>
    </row>
    <row r="899" spans="1:9" ht="15.6" x14ac:dyDescent="0.3">
      <c r="A899" s="351" t="s">
        <v>32</v>
      </c>
      <c r="B899" s="349" t="s">
        <v>100</v>
      </c>
      <c r="C899" s="351" t="s">
        <v>101</v>
      </c>
      <c r="D899" s="564">
        <v>0.1</v>
      </c>
      <c r="E899" s="367">
        <v>2850</v>
      </c>
      <c r="F899" s="322" t="str">
        <f t="shared" si="239"/>
        <v/>
      </c>
      <c r="G899" s="322">
        <f t="shared" si="240"/>
        <v>285</v>
      </c>
      <c r="H899" s="322" t="str">
        <f t="shared" si="241"/>
        <v/>
      </c>
      <c r="I899" s="323" t="str">
        <f t="shared" si="242"/>
        <v/>
      </c>
    </row>
    <row r="900" spans="1:9" ht="31.2" x14ac:dyDescent="0.3">
      <c r="A900" s="351" t="s">
        <v>32</v>
      </c>
      <c r="B900" s="349" t="s">
        <v>401</v>
      </c>
      <c r="C900" s="351" t="s">
        <v>400</v>
      </c>
      <c r="D900" s="564">
        <v>3.2623500000000005</v>
      </c>
      <c r="E900" s="367">
        <v>12016.7</v>
      </c>
      <c r="F900" s="322" t="str">
        <f t="shared" si="239"/>
        <v/>
      </c>
      <c r="G900" s="322">
        <f t="shared" si="240"/>
        <v>39202.681245000007</v>
      </c>
      <c r="H900" s="322" t="str">
        <f t="shared" si="241"/>
        <v/>
      </c>
      <c r="I900" s="323" t="str">
        <f t="shared" si="242"/>
        <v/>
      </c>
    </row>
    <row r="901" spans="1:9" ht="31.2" x14ac:dyDescent="0.3">
      <c r="A901" s="351" t="s">
        <v>32</v>
      </c>
      <c r="B901" s="349" t="s">
        <v>402</v>
      </c>
      <c r="C901" s="351" t="s">
        <v>113</v>
      </c>
      <c r="D901" s="565">
        <v>6.7000000000000004E-2</v>
      </c>
      <c r="E901" s="367">
        <f>85845.4975290099*1.0318*1.038</f>
        <v>91941.248955748859</v>
      </c>
      <c r="F901" s="322" t="str">
        <f t="shared" si="239"/>
        <v/>
      </c>
      <c r="G901" s="322">
        <f t="shared" si="240"/>
        <v>6160.063680035174</v>
      </c>
      <c r="H901" s="322" t="str">
        <f t="shared" si="241"/>
        <v/>
      </c>
      <c r="I901" s="323" t="str">
        <f t="shared" si="242"/>
        <v/>
      </c>
    </row>
    <row r="902" spans="1:9" ht="15.6" x14ac:dyDescent="0.3">
      <c r="A902" s="375" t="s">
        <v>32</v>
      </c>
      <c r="B902" s="349" t="s">
        <v>403</v>
      </c>
      <c r="C902" s="351" t="s">
        <v>113</v>
      </c>
      <c r="D902" s="565">
        <v>0.13300000000000001</v>
      </c>
      <c r="E902" s="367">
        <f>6960.5474336514*1.0318*1.038</f>
        <v>7454.8047700390925</v>
      </c>
      <c r="F902" s="322" t="str">
        <f t="shared" si="239"/>
        <v/>
      </c>
      <c r="G902" s="322">
        <f t="shared" si="240"/>
        <v>991.4890344151994</v>
      </c>
      <c r="H902" s="322" t="str">
        <f t="shared" si="241"/>
        <v/>
      </c>
      <c r="I902" s="323" t="str">
        <f t="shared" si="242"/>
        <v/>
      </c>
    </row>
    <row r="903" spans="1:9" ht="15.6" x14ac:dyDescent="0.3">
      <c r="A903" s="375" t="s">
        <v>32</v>
      </c>
      <c r="B903" s="349" t="s">
        <v>103</v>
      </c>
      <c r="C903" s="351" t="s">
        <v>400</v>
      </c>
      <c r="D903" s="564">
        <v>0.4</v>
      </c>
      <c r="E903" s="367">
        <v>1200</v>
      </c>
      <c r="F903" s="322" t="str">
        <f t="shared" si="239"/>
        <v/>
      </c>
      <c r="G903" s="322">
        <f t="shared" si="240"/>
        <v>480</v>
      </c>
      <c r="H903" s="322" t="str">
        <f t="shared" si="241"/>
        <v/>
      </c>
      <c r="I903" s="323" t="str">
        <f t="shared" si="242"/>
        <v/>
      </c>
    </row>
    <row r="904" spans="1:9" ht="15.6" x14ac:dyDescent="0.3">
      <c r="A904" s="375" t="s">
        <v>32</v>
      </c>
      <c r="B904" s="349" t="s">
        <v>404</v>
      </c>
      <c r="C904" s="351" t="s">
        <v>113</v>
      </c>
      <c r="D904" s="564">
        <v>0.53</v>
      </c>
      <c r="E904" s="367">
        <f>1945.19082335015*1.0318*1.038</f>
        <v>2083.3157114109267</v>
      </c>
      <c r="F904" s="322" t="str">
        <f t="shared" si="239"/>
        <v/>
      </c>
      <c r="G904" s="322">
        <f t="shared" si="240"/>
        <v>1104.1573270477911</v>
      </c>
      <c r="H904" s="322" t="str">
        <f t="shared" si="241"/>
        <v/>
      </c>
      <c r="I904" s="323" t="str">
        <f t="shared" si="242"/>
        <v/>
      </c>
    </row>
    <row r="905" spans="1:9" ht="16.2" x14ac:dyDescent="0.3">
      <c r="A905" s="375" t="s">
        <v>32</v>
      </c>
      <c r="B905" s="349" t="s">
        <v>405</v>
      </c>
      <c r="C905" s="351" t="s">
        <v>863</v>
      </c>
      <c r="D905" s="564">
        <v>1.05</v>
      </c>
      <c r="E905" s="367">
        <v>11527</v>
      </c>
      <c r="F905" s="322" t="str">
        <f t="shared" si="239"/>
        <v/>
      </c>
      <c r="G905" s="322">
        <f t="shared" si="240"/>
        <v>12103.35</v>
      </c>
      <c r="H905" s="322" t="str">
        <f t="shared" si="241"/>
        <v/>
      </c>
      <c r="I905" s="323" t="str">
        <f t="shared" si="242"/>
        <v/>
      </c>
    </row>
    <row r="906" spans="1:9" ht="15.6" x14ac:dyDescent="0.3">
      <c r="A906" s="375" t="s">
        <v>32</v>
      </c>
      <c r="B906" s="349" t="s">
        <v>406</v>
      </c>
      <c r="C906" s="351" t="s">
        <v>400</v>
      </c>
      <c r="D906" s="564">
        <v>3.5700000000000003</v>
      </c>
      <c r="E906" s="367">
        <f>3344.82522622492*1.0318*1.038</f>
        <v>3582.3359138187898</v>
      </c>
      <c r="F906" s="322" t="str">
        <f t="shared" si="239"/>
        <v/>
      </c>
      <c r="G906" s="322">
        <f t="shared" si="240"/>
        <v>12788.93921233308</v>
      </c>
      <c r="H906" s="322" t="str">
        <f t="shared" si="241"/>
        <v/>
      </c>
      <c r="I906" s="323" t="str">
        <f t="shared" si="242"/>
        <v/>
      </c>
    </row>
    <row r="907" spans="1:9" ht="15.6" x14ac:dyDescent="0.3">
      <c r="A907" s="375" t="s">
        <v>32</v>
      </c>
      <c r="B907" s="349" t="s">
        <v>407</v>
      </c>
      <c r="C907" s="351" t="s">
        <v>90</v>
      </c>
      <c r="D907" s="564">
        <v>7.035000000000001E-2</v>
      </c>
      <c r="E907" s="367">
        <v>9900</v>
      </c>
      <c r="F907" s="322" t="str">
        <f t="shared" si="239"/>
        <v/>
      </c>
      <c r="G907" s="322">
        <f t="shared" si="240"/>
        <v>696.46500000000015</v>
      </c>
      <c r="H907" s="322" t="str">
        <f t="shared" si="241"/>
        <v/>
      </c>
      <c r="I907" s="323" t="str">
        <f t="shared" si="242"/>
        <v/>
      </c>
    </row>
    <row r="908" spans="1:9" ht="31.2" x14ac:dyDescent="0.3">
      <c r="A908" s="375" t="s">
        <v>26</v>
      </c>
      <c r="B908" s="349" t="s">
        <v>408</v>
      </c>
      <c r="C908" s="351" t="s">
        <v>840</v>
      </c>
      <c r="D908" s="564">
        <v>4.2999999999999997E-2</v>
      </c>
      <c r="E908" s="367">
        <f>+C159</f>
        <v>17775</v>
      </c>
      <c r="F908" s="322" t="str">
        <f t="shared" si="239"/>
        <v/>
      </c>
      <c r="G908" s="322" t="str">
        <f t="shared" si="240"/>
        <v/>
      </c>
      <c r="H908" s="322" t="str">
        <f t="shared" si="241"/>
        <v/>
      </c>
      <c r="I908" s="323">
        <f t="shared" si="242"/>
        <v>764.32499999999993</v>
      </c>
    </row>
    <row r="909" spans="1:9" ht="16.2" x14ac:dyDescent="0.3">
      <c r="A909" s="375" t="s">
        <v>32</v>
      </c>
      <c r="B909" s="349" t="s">
        <v>105</v>
      </c>
      <c r="C909" s="351" t="s">
        <v>840</v>
      </c>
      <c r="D909" s="564">
        <v>6.1799999999999994E-2</v>
      </c>
      <c r="E909" s="321">
        <v>352856</v>
      </c>
      <c r="F909" s="322" t="str">
        <f t="shared" si="239"/>
        <v/>
      </c>
      <c r="G909" s="322">
        <f t="shared" si="240"/>
        <v>21806.500799999998</v>
      </c>
      <c r="H909" s="322" t="str">
        <f t="shared" si="241"/>
        <v/>
      </c>
      <c r="I909" s="323" t="str">
        <f t="shared" si="242"/>
        <v/>
      </c>
    </row>
    <row r="910" spans="1:9" ht="15.6" x14ac:dyDescent="0.3">
      <c r="A910" s="375" t="s">
        <v>24</v>
      </c>
      <c r="B910" s="13" t="s">
        <v>430</v>
      </c>
      <c r="C910" s="351" t="s">
        <v>25</v>
      </c>
      <c r="D910" s="564">
        <v>0.7142857142857143</v>
      </c>
      <c r="E910" s="321">
        <f>+'M.O 2020'!B13</f>
        <v>357888</v>
      </c>
      <c r="F910" s="322">
        <f t="shared" si="239"/>
        <v>255634.28571428571</v>
      </c>
      <c r="G910" s="322" t="str">
        <f t="shared" si="240"/>
        <v/>
      </c>
      <c r="H910" s="322" t="str">
        <f t="shared" si="241"/>
        <v/>
      </c>
      <c r="I910" s="323" t="str">
        <f t="shared" si="242"/>
        <v/>
      </c>
    </row>
    <row r="911" spans="1:9" ht="15.6" x14ac:dyDescent="0.3">
      <c r="A911" s="375" t="s">
        <v>29</v>
      </c>
      <c r="B911" s="349" t="s">
        <v>30</v>
      </c>
      <c r="C911" s="351" t="s">
        <v>38</v>
      </c>
      <c r="D911" s="564">
        <v>0.1</v>
      </c>
      <c r="E911" s="367">
        <f>F910</f>
        <v>255634.28571428571</v>
      </c>
      <c r="F911" s="322" t="str">
        <f t="shared" si="239"/>
        <v/>
      </c>
      <c r="G911" s="322" t="str">
        <f t="shared" si="240"/>
        <v/>
      </c>
      <c r="H911" s="322">
        <f t="shared" si="241"/>
        <v>25563.428571428572</v>
      </c>
      <c r="I911" s="323" t="str">
        <f t="shared" si="242"/>
        <v/>
      </c>
    </row>
    <row r="912" spans="1:9" ht="15.6" x14ac:dyDescent="0.3">
      <c r="A912" s="387"/>
      <c r="B912" s="388"/>
      <c r="C912" s="388"/>
      <c r="D912" s="566"/>
      <c r="E912" s="389"/>
      <c r="F912" s="322" t="s">
        <v>153</v>
      </c>
      <c r="G912" s="322" t="s">
        <v>153</v>
      </c>
      <c r="H912" s="322" t="s">
        <v>153</v>
      </c>
      <c r="I912" s="323" t="s">
        <v>153</v>
      </c>
    </row>
    <row r="913" spans="1:9" ht="16.2" thickBot="1" x14ac:dyDescent="0.35">
      <c r="A913" s="390"/>
      <c r="B913" s="391" t="s">
        <v>31</v>
      </c>
      <c r="C913" s="344">
        <f>ROUND(SUM(F913:I913),0)</f>
        <v>396624</v>
      </c>
      <c r="D913" s="567" t="str">
        <f>+C892</f>
        <v>Und</v>
      </c>
      <c r="E913" s="392"/>
      <c r="F913" s="346">
        <f>SUM(F896:F912)</f>
        <v>255634.28571428571</v>
      </c>
      <c r="G913" s="346">
        <f>SUM(G896:G912)</f>
        <v>114661.50596549791</v>
      </c>
      <c r="H913" s="346">
        <f>SUM(H896:H912)</f>
        <v>25563.428571428572</v>
      </c>
      <c r="I913" s="346">
        <f>SUM(I896:I912)</f>
        <v>764.32499999999993</v>
      </c>
    </row>
    <row r="914" spans="1:9" ht="15.6" thickTop="1" thickBot="1" x14ac:dyDescent="0.35"/>
    <row r="915" spans="1:9" ht="16.2" thickTop="1" x14ac:dyDescent="0.3">
      <c r="A915" s="941" t="s">
        <v>35</v>
      </c>
      <c r="B915" s="942"/>
      <c r="C915" s="958" t="s">
        <v>488</v>
      </c>
      <c r="D915" s="959"/>
      <c r="E915" s="959"/>
      <c r="F915" s="959"/>
      <c r="G915" s="959"/>
      <c r="H915" s="959"/>
      <c r="I915" s="960"/>
    </row>
    <row r="916" spans="1:9" ht="15.6" x14ac:dyDescent="0.3">
      <c r="A916" s="946" t="s">
        <v>12</v>
      </c>
      <c r="B916" s="947"/>
      <c r="C916" s="961" t="s">
        <v>419</v>
      </c>
      <c r="D916" s="962"/>
      <c r="E916" s="962"/>
      <c r="F916" s="962"/>
      <c r="G916" s="962"/>
      <c r="H916" s="962"/>
      <c r="I916" s="963"/>
    </row>
    <row r="917" spans="1:9" ht="15.6" x14ac:dyDescent="0.3">
      <c r="A917" s="946" t="s">
        <v>13</v>
      </c>
      <c r="B917" s="947"/>
      <c r="C917" s="948" t="s">
        <v>25</v>
      </c>
      <c r="D917" s="949"/>
      <c r="E917" s="949"/>
      <c r="F917" s="949"/>
      <c r="G917" s="949"/>
      <c r="H917" s="949"/>
      <c r="I917" s="950"/>
    </row>
    <row r="918" spans="1:9" ht="15.6" x14ac:dyDescent="0.3">
      <c r="A918" s="863" t="s">
        <v>14</v>
      </c>
      <c r="B918" s="864" t="s">
        <v>15</v>
      </c>
      <c r="C918" s="864" t="s">
        <v>16</v>
      </c>
      <c r="D918" s="866" t="s">
        <v>17</v>
      </c>
      <c r="E918" s="868" t="s">
        <v>18</v>
      </c>
      <c r="F918" s="955" t="s">
        <v>19</v>
      </c>
      <c r="G918" s="956"/>
      <c r="H918" s="956"/>
      <c r="I918" s="957"/>
    </row>
    <row r="919" spans="1:9" ht="31.8" thickBot="1" x14ac:dyDescent="0.35">
      <c r="A919" s="951"/>
      <c r="B919" s="952"/>
      <c r="C919" s="952"/>
      <c r="D919" s="953"/>
      <c r="E919" s="954"/>
      <c r="F919" s="480" t="s">
        <v>20</v>
      </c>
      <c r="G919" s="480" t="s">
        <v>21</v>
      </c>
      <c r="H919" s="480" t="s">
        <v>22</v>
      </c>
      <c r="I919" s="14" t="s">
        <v>23</v>
      </c>
    </row>
    <row r="920" spans="1:9" ht="16.8" thickTop="1" thickBot="1" x14ac:dyDescent="0.35">
      <c r="A920" s="9"/>
      <c r="B920" s="9"/>
      <c r="C920" s="9"/>
      <c r="D920" s="513"/>
      <c r="E920" s="10"/>
      <c r="F920" s="9"/>
      <c r="G920" s="9"/>
      <c r="H920" s="9"/>
      <c r="I920" s="9"/>
    </row>
    <row r="921" spans="1:9" ht="16.2" thickTop="1" x14ac:dyDescent="0.3">
      <c r="A921" s="19" t="s">
        <v>24</v>
      </c>
      <c r="B921" s="13" t="s">
        <v>27</v>
      </c>
      <c r="C921" s="16" t="s">
        <v>112</v>
      </c>
      <c r="D921" s="514">
        <v>0.04</v>
      </c>
      <c r="E921" s="53">
        <f>+F922</f>
        <v>447632</v>
      </c>
      <c r="F921" s="21">
        <f t="shared" ref="F921:F927" si="243">IF(A921="MO",D921*E921,"")</f>
        <v>17905.28</v>
      </c>
      <c r="G921" s="21" t="str">
        <f t="shared" ref="G921:G927" si="244">IF(A921="MA",D921*E921,"")</f>
        <v/>
      </c>
      <c r="H921" s="21" t="str">
        <f t="shared" ref="H921:H927" si="245">IF(A921="HE",D921*E921,"")</f>
        <v/>
      </c>
      <c r="I921" s="22" t="str">
        <f t="shared" ref="I921:I927" si="246">IF(A921="OT",D921*E921,"")</f>
        <v/>
      </c>
    </row>
    <row r="922" spans="1:9" ht="15.6" x14ac:dyDescent="0.3">
      <c r="A922" s="19" t="s">
        <v>24</v>
      </c>
      <c r="B922" s="13" t="str">
        <f>+'M.O 2020'!A17</f>
        <v>Comisión topográfica (1 Top + 1 Cad + 2 Cad2)</v>
      </c>
      <c r="C922" s="16" t="s">
        <v>36</v>
      </c>
      <c r="D922" s="515">
        <v>1</v>
      </c>
      <c r="E922" s="53">
        <f>+'M.O 2020'!B17</f>
        <v>447632</v>
      </c>
      <c r="F922" s="21">
        <f t="shared" ref="F922" si="247">IF(A922="MO",D922*E922,"")</f>
        <v>447632</v>
      </c>
      <c r="G922" s="21" t="str">
        <f t="shared" ref="G922" si="248">IF(A922="MA",D922*E922,"")</f>
        <v/>
      </c>
      <c r="H922" s="21" t="str">
        <f t="shared" ref="H922" si="249">IF(A922="HE",D922*E922,"")</f>
        <v/>
      </c>
      <c r="I922" s="22" t="str">
        <f t="shared" ref="I922" si="250">IF(A922="OT",D922*E922,"")</f>
        <v/>
      </c>
    </row>
    <row r="923" spans="1:9" ht="15.6" x14ac:dyDescent="0.3">
      <c r="A923" s="19" t="s">
        <v>29</v>
      </c>
      <c r="B923" s="13" t="s">
        <v>212</v>
      </c>
      <c r="C923" s="16" t="s">
        <v>210</v>
      </c>
      <c r="D923" s="515">
        <f>+D922</f>
        <v>1</v>
      </c>
      <c r="E923" s="53">
        <v>104000</v>
      </c>
      <c r="F923" s="21" t="str">
        <f t="shared" si="243"/>
        <v/>
      </c>
      <c r="G923" s="21" t="str">
        <f t="shared" si="244"/>
        <v/>
      </c>
      <c r="H923" s="21">
        <f t="shared" si="245"/>
        <v>104000</v>
      </c>
      <c r="I923" s="22" t="str">
        <f t="shared" si="246"/>
        <v/>
      </c>
    </row>
    <row r="924" spans="1:9" ht="15.6" x14ac:dyDescent="0.3">
      <c r="A924" s="19" t="s">
        <v>32</v>
      </c>
      <c r="B924" s="13" t="s">
        <v>489</v>
      </c>
      <c r="C924" s="16" t="s">
        <v>205</v>
      </c>
      <c r="D924" s="515">
        <v>7.0000000000000007E-2</v>
      </c>
      <c r="E924" s="53">
        <v>4150</v>
      </c>
      <c r="F924" s="21" t="str">
        <f t="shared" si="243"/>
        <v/>
      </c>
      <c r="G924" s="21">
        <f t="shared" si="244"/>
        <v>290.5</v>
      </c>
      <c r="H924" s="21" t="str">
        <f t="shared" si="245"/>
        <v/>
      </c>
      <c r="I924" s="22" t="str">
        <f t="shared" si="246"/>
        <v/>
      </c>
    </row>
    <row r="925" spans="1:9" ht="15.6" x14ac:dyDescent="0.3">
      <c r="A925" s="19" t="s">
        <v>32</v>
      </c>
      <c r="B925" s="13" t="s">
        <v>115</v>
      </c>
      <c r="C925" s="16" t="s">
        <v>112</v>
      </c>
      <c r="D925" s="514">
        <v>0.05</v>
      </c>
      <c r="E925" s="53">
        <f>+E922</f>
        <v>447632</v>
      </c>
      <c r="F925" s="21" t="str">
        <f t="shared" si="243"/>
        <v/>
      </c>
      <c r="G925" s="21">
        <f t="shared" si="244"/>
        <v>22381.600000000002</v>
      </c>
      <c r="H925" s="21" t="str">
        <f t="shared" si="245"/>
        <v/>
      </c>
      <c r="I925" s="22" t="str">
        <f t="shared" si="246"/>
        <v/>
      </c>
    </row>
    <row r="926" spans="1:9" ht="15.6" x14ac:dyDescent="0.3">
      <c r="A926" s="19" t="s">
        <v>32</v>
      </c>
      <c r="B926" s="13" t="s">
        <v>490</v>
      </c>
      <c r="C926" s="16" t="s">
        <v>205</v>
      </c>
      <c r="D926" s="515">
        <v>0.03</v>
      </c>
      <c r="E926" s="53">
        <v>2850</v>
      </c>
      <c r="F926" s="21" t="str">
        <f t="shared" si="243"/>
        <v/>
      </c>
      <c r="G926" s="21">
        <f t="shared" si="244"/>
        <v>85.5</v>
      </c>
      <c r="H926" s="21" t="str">
        <f t="shared" si="245"/>
        <v/>
      </c>
      <c r="I926" s="22" t="str">
        <f t="shared" si="246"/>
        <v/>
      </c>
    </row>
    <row r="927" spans="1:9" ht="15.6" x14ac:dyDescent="0.3">
      <c r="A927" s="19"/>
      <c r="B927" s="488"/>
      <c r="C927" s="12"/>
      <c r="D927" s="523"/>
      <c r="E927" s="20"/>
      <c r="F927" s="21" t="str">
        <f t="shared" si="243"/>
        <v/>
      </c>
      <c r="G927" s="21" t="str">
        <f t="shared" si="244"/>
        <v/>
      </c>
      <c r="H927" s="21" t="str">
        <f t="shared" si="245"/>
        <v/>
      </c>
      <c r="I927" s="22" t="str">
        <f t="shared" si="246"/>
        <v/>
      </c>
    </row>
    <row r="928" spans="1:9" ht="16.2" thickBot="1" x14ac:dyDescent="0.35">
      <c r="A928" s="23"/>
      <c r="B928" s="24" t="s">
        <v>31</v>
      </c>
      <c r="C928" s="25">
        <f>ROUND(SUM(F928:I928),0)</f>
        <v>592295</v>
      </c>
      <c r="D928" s="516" t="str">
        <f>+C917</f>
        <v>Día</v>
      </c>
      <c r="E928" s="26"/>
      <c r="F928" s="27">
        <f>SUM(F921:F927)</f>
        <v>465537.28000000003</v>
      </c>
      <c r="G928" s="27">
        <f>SUM(G921:G927)</f>
        <v>22757.600000000002</v>
      </c>
      <c r="H928" s="27">
        <f>SUM(H921:H927)</f>
        <v>104000</v>
      </c>
      <c r="I928" s="28">
        <f>SUM(I921:I927)</f>
        <v>0</v>
      </c>
    </row>
    <row r="929" spans="1:9" ht="15.6" thickTop="1" thickBot="1" x14ac:dyDescent="0.35"/>
    <row r="930" spans="1:9" ht="16.2" thickTop="1" x14ac:dyDescent="0.3">
      <c r="A930" s="870" t="s">
        <v>35</v>
      </c>
      <c r="B930" s="871"/>
      <c r="C930" s="872" t="s">
        <v>491</v>
      </c>
      <c r="D930" s="873"/>
      <c r="E930" s="873"/>
      <c r="F930" s="873"/>
      <c r="G930" s="873"/>
      <c r="H930" s="873"/>
      <c r="I930" s="874"/>
    </row>
    <row r="931" spans="1:9" ht="15.6" x14ac:dyDescent="0.3">
      <c r="A931" s="875" t="s">
        <v>12</v>
      </c>
      <c r="B931" s="876"/>
      <c r="C931" s="877" t="s">
        <v>492</v>
      </c>
      <c r="D931" s="878"/>
      <c r="E931" s="878"/>
      <c r="F931" s="878"/>
      <c r="G931" s="878"/>
      <c r="H931" s="878"/>
      <c r="I931" s="879"/>
    </row>
    <row r="932" spans="1:9" ht="15.6" x14ac:dyDescent="0.3">
      <c r="A932" s="875" t="s">
        <v>13</v>
      </c>
      <c r="B932" s="876"/>
      <c r="C932" s="877" t="s">
        <v>102</v>
      </c>
      <c r="D932" s="878"/>
      <c r="E932" s="878"/>
      <c r="F932" s="878"/>
      <c r="G932" s="878"/>
      <c r="H932" s="878"/>
      <c r="I932" s="879"/>
    </row>
    <row r="933" spans="1:9" ht="15.6" x14ac:dyDescent="0.3">
      <c r="A933" s="880" t="s">
        <v>14</v>
      </c>
      <c r="B933" s="882" t="s">
        <v>15</v>
      </c>
      <c r="C933" s="883" t="s">
        <v>16</v>
      </c>
      <c r="D933" s="885" t="s">
        <v>17</v>
      </c>
      <c r="E933" s="887" t="s">
        <v>18</v>
      </c>
      <c r="F933" s="889" t="s">
        <v>19</v>
      </c>
      <c r="G933" s="890"/>
      <c r="H933" s="890"/>
      <c r="I933" s="891"/>
    </row>
    <row r="934" spans="1:9" ht="31.8" thickBot="1" x14ac:dyDescent="0.35">
      <c r="A934" s="881"/>
      <c r="B934" s="883"/>
      <c r="C934" s="884"/>
      <c r="D934" s="886"/>
      <c r="E934" s="888"/>
      <c r="F934" s="481" t="s">
        <v>20</v>
      </c>
      <c r="G934" s="481" t="s">
        <v>21</v>
      </c>
      <c r="H934" s="481" t="s">
        <v>22</v>
      </c>
      <c r="I934" s="362" t="s">
        <v>23</v>
      </c>
    </row>
    <row r="935" spans="1:9" ht="16.8" thickTop="1" thickBot="1" x14ac:dyDescent="0.35">
      <c r="A935" s="99"/>
      <c r="B935" s="99"/>
      <c r="C935" s="99"/>
      <c r="D935" s="526"/>
      <c r="E935" s="100"/>
      <c r="F935" s="99"/>
      <c r="G935" s="99"/>
      <c r="H935" s="99"/>
      <c r="I935" s="99"/>
    </row>
    <row r="936" spans="1:9" ht="16.2" thickTop="1" x14ac:dyDescent="0.3">
      <c r="A936" s="318" t="s">
        <v>32</v>
      </c>
      <c r="B936" s="349" t="s">
        <v>88</v>
      </c>
      <c r="C936" s="320" t="s">
        <v>113</v>
      </c>
      <c r="D936" s="412">
        <v>10</v>
      </c>
      <c r="E936" s="321">
        <v>400</v>
      </c>
      <c r="F936" s="322" t="str">
        <f t="shared" ref="F936:F940" si="251">IF(A936="MO",D936*E936,"")</f>
        <v/>
      </c>
      <c r="G936" s="322">
        <f t="shared" ref="G936:G940" si="252">IF(A936="MA",D936*E936,"")</f>
        <v>4000</v>
      </c>
      <c r="H936" s="322" t="str">
        <f t="shared" ref="H936:H940" si="253">IF(A936="HE",D936*E936,"")</f>
        <v/>
      </c>
      <c r="I936" s="323" t="str">
        <f t="shared" ref="I936:I940" si="254">IF(A936="OT",D936*E936,"")</f>
        <v/>
      </c>
    </row>
    <row r="937" spans="1:9" ht="15.6" x14ac:dyDescent="0.3">
      <c r="A937" s="376" t="s">
        <v>32</v>
      </c>
      <c r="B937" s="331" t="s">
        <v>493</v>
      </c>
      <c r="C937" s="320" t="s">
        <v>7</v>
      </c>
      <c r="D937" s="412">
        <v>2</v>
      </c>
      <c r="E937" s="321">
        <v>80900</v>
      </c>
      <c r="F937" s="322" t="str">
        <f t="shared" si="251"/>
        <v/>
      </c>
      <c r="G937" s="322">
        <f t="shared" si="252"/>
        <v>161800</v>
      </c>
      <c r="H937" s="322" t="str">
        <f t="shared" si="253"/>
        <v/>
      </c>
      <c r="I937" s="323" t="str">
        <f t="shared" si="254"/>
        <v/>
      </c>
    </row>
    <row r="938" spans="1:9" ht="31.2" x14ac:dyDescent="0.3">
      <c r="A938" s="406" t="s">
        <v>29</v>
      </c>
      <c r="B938" s="378" t="s">
        <v>494</v>
      </c>
      <c r="C938" s="402" t="s">
        <v>25</v>
      </c>
      <c r="D938" s="568">
        <v>161</v>
      </c>
      <c r="E938" s="403">
        <f>53900*1.19</f>
        <v>64141</v>
      </c>
      <c r="F938" s="407" t="str">
        <f t="shared" si="251"/>
        <v/>
      </c>
      <c r="G938" s="407" t="str">
        <f t="shared" si="252"/>
        <v/>
      </c>
      <c r="H938" s="407">
        <f t="shared" si="253"/>
        <v>10326701</v>
      </c>
      <c r="I938" s="408" t="str">
        <f t="shared" si="254"/>
        <v/>
      </c>
    </row>
    <row r="939" spans="1:9" ht="15.6" x14ac:dyDescent="0.3">
      <c r="A939" s="318" t="s">
        <v>24</v>
      </c>
      <c r="B939" s="377" t="s">
        <v>227</v>
      </c>
      <c r="C939" s="320" t="s">
        <v>495</v>
      </c>
      <c r="D939" s="412">
        <v>3.5</v>
      </c>
      <c r="E939" s="321">
        <f>+'M.O 2020'!C4*48*4</f>
        <v>1460352</v>
      </c>
      <c r="F939" s="322">
        <f t="shared" si="251"/>
        <v>5111232</v>
      </c>
      <c r="G939" s="322" t="str">
        <f t="shared" si="252"/>
        <v/>
      </c>
      <c r="H939" s="322" t="str">
        <f t="shared" si="253"/>
        <v/>
      </c>
      <c r="I939" s="323" t="str">
        <f t="shared" si="254"/>
        <v/>
      </c>
    </row>
    <row r="940" spans="1:9" ht="15.6" x14ac:dyDescent="0.3">
      <c r="A940" s="230"/>
      <c r="B940" s="231"/>
      <c r="C940" s="232"/>
      <c r="D940" s="530"/>
      <c r="E940" s="233"/>
      <c r="F940" s="228" t="str">
        <f t="shared" si="251"/>
        <v/>
      </c>
      <c r="G940" s="228" t="str">
        <f t="shared" si="252"/>
        <v/>
      </c>
      <c r="H940" s="228" t="str">
        <f t="shared" si="253"/>
        <v/>
      </c>
      <c r="I940" s="229" t="str">
        <f t="shared" si="254"/>
        <v/>
      </c>
    </row>
    <row r="941" spans="1:9" ht="16.2" thickBot="1" x14ac:dyDescent="0.35">
      <c r="A941" s="342"/>
      <c r="B941" s="343" t="s">
        <v>31</v>
      </c>
      <c r="C941" s="344">
        <f>ROUND(SUM(F941:I941),0)</f>
        <v>15603733</v>
      </c>
      <c r="D941" s="522" t="s">
        <v>496</v>
      </c>
      <c r="E941" s="345"/>
      <c r="F941" s="346">
        <f>SUM(F936:F940)</f>
        <v>5111232</v>
      </c>
      <c r="G941" s="346">
        <f>SUM(G936:G940)</f>
        <v>165800</v>
      </c>
      <c r="H941" s="346">
        <f>SUM(H936:H940)</f>
        <v>10326701</v>
      </c>
      <c r="I941" s="352">
        <f>SUM(I936:I940)</f>
        <v>0</v>
      </c>
    </row>
    <row r="942" spans="1:9" ht="15" thickTop="1" x14ac:dyDescent="0.3"/>
    <row r="943" spans="1:9" ht="16.2" hidden="1" thickTop="1" x14ac:dyDescent="0.3">
      <c r="A943" s="870" t="s">
        <v>35</v>
      </c>
      <c r="B943" s="871"/>
      <c r="C943" s="872" t="s">
        <v>412</v>
      </c>
      <c r="D943" s="873"/>
      <c r="E943" s="873"/>
      <c r="F943" s="873"/>
      <c r="G943" s="873"/>
      <c r="H943" s="873"/>
      <c r="I943" s="874"/>
    </row>
    <row r="944" spans="1:9" ht="32.25" hidden="1" customHeight="1" x14ac:dyDescent="0.3">
      <c r="A944" s="875" t="s">
        <v>12</v>
      </c>
      <c r="B944" s="876"/>
      <c r="C944" s="877" t="s">
        <v>420</v>
      </c>
      <c r="D944" s="878"/>
      <c r="E944" s="878"/>
      <c r="F944" s="878"/>
      <c r="G944" s="878"/>
      <c r="H944" s="878"/>
      <c r="I944" s="879"/>
    </row>
    <row r="945" spans="1:9" ht="15.6" hidden="1" x14ac:dyDescent="0.3">
      <c r="A945" s="875" t="s">
        <v>13</v>
      </c>
      <c r="B945" s="876"/>
      <c r="C945" s="877" t="s">
        <v>413</v>
      </c>
      <c r="D945" s="878"/>
      <c r="E945" s="878"/>
      <c r="F945" s="878"/>
      <c r="G945" s="878"/>
      <c r="H945" s="878"/>
      <c r="I945" s="879"/>
    </row>
    <row r="946" spans="1:9" ht="15.6" hidden="1" x14ac:dyDescent="0.3">
      <c r="A946" s="880" t="s">
        <v>14</v>
      </c>
      <c r="B946" s="882" t="s">
        <v>15</v>
      </c>
      <c r="C946" s="883" t="s">
        <v>16</v>
      </c>
      <c r="D946" s="885" t="s">
        <v>17</v>
      </c>
      <c r="E946" s="887" t="s">
        <v>18</v>
      </c>
      <c r="F946" s="889" t="s">
        <v>19</v>
      </c>
      <c r="G946" s="890"/>
      <c r="H946" s="890"/>
      <c r="I946" s="891"/>
    </row>
    <row r="947" spans="1:9" ht="31.8" hidden="1" thickBot="1" x14ac:dyDescent="0.35">
      <c r="A947" s="881"/>
      <c r="B947" s="883"/>
      <c r="C947" s="884"/>
      <c r="D947" s="886"/>
      <c r="E947" s="888"/>
      <c r="F947" s="365" t="s">
        <v>20</v>
      </c>
      <c r="G947" s="365" t="s">
        <v>21</v>
      </c>
      <c r="H947" s="365" t="s">
        <v>22</v>
      </c>
      <c r="I947" s="366" t="s">
        <v>23</v>
      </c>
    </row>
    <row r="948" spans="1:9" ht="16.8" hidden="1" thickTop="1" thickBot="1" x14ac:dyDescent="0.35">
      <c r="A948" s="379"/>
      <c r="B948" s="380"/>
      <c r="C948" s="380"/>
      <c r="D948" s="518"/>
      <c r="E948" s="381"/>
      <c r="F948" s="380"/>
      <c r="G948" s="380"/>
      <c r="H948" s="380"/>
      <c r="I948" s="382"/>
    </row>
    <row r="949" spans="1:9" ht="16.2" hidden="1" thickTop="1" x14ac:dyDescent="0.3">
      <c r="A949" s="375" t="s">
        <v>24</v>
      </c>
      <c r="B949" s="377" t="s">
        <v>227</v>
      </c>
      <c r="C949" s="383" t="s">
        <v>25</v>
      </c>
      <c r="D949" s="520">
        <v>1</v>
      </c>
      <c r="E949" s="321">
        <f>+'M.O 2020'!B4</f>
        <v>60848</v>
      </c>
      <c r="F949" s="384">
        <f t="shared" ref="F949:F954" si="255">IF(A949="MO",D949*E949,"")</f>
        <v>60848</v>
      </c>
      <c r="G949" s="384" t="str">
        <f t="shared" ref="G949:G954" si="256">IF(A949="MA",D949*E949,"")</f>
        <v/>
      </c>
      <c r="H949" s="384" t="str">
        <f t="shared" ref="H949:H954" si="257">IF(A949="HE",D949*E949,"")</f>
        <v/>
      </c>
      <c r="I949" s="385" t="str">
        <f t="shared" ref="I949:I954" si="258">IF(A949="OT",D949*E949,"")</f>
        <v/>
      </c>
    </row>
    <row r="950" spans="1:9" ht="15.6" hidden="1" x14ac:dyDescent="0.3">
      <c r="A950" s="375" t="s">
        <v>29</v>
      </c>
      <c r="B950" s="377" t="s">
        <v>30</v>
      </c>
      <c r="C950" s="383" t="s">
        <v>28</v>
      </c>
      <c r="D950" s="520">
        <v>0.08</v>
      </c>
      <c r="E950" s="367">
        <f>F949</f>
        <v>60848</v>
      </c>
      <c r="F950" s="322" t="str">
        <f t="shared" si="255"/>
        <v/>
      </c>
      <c r="G950" s="322" t="str">
        <f t="shared" si="256"/>
        <v/>
      </c>
      <c r="H950" s="322">
        <f t="shared" si="257"/>
        <v>4867.84</v>
      </c>
      <c r="I950" s="323" t="str">
        <f t="shared" si="258"/>
        <v/>
      </c>
    </row>
    <row r="951" spans="1:9" ht="31.2" hidden="1" x14ac:dyDescent="0.3">
      <c r="A951" s="350" t="s">
        <v>26</v>
      </c>
      <c r="B951" s="349" t="s">
        <v>414</v>
      </c>
      <c r="C951" s="351" t="s">
        <v>205</v>
      </c>
      <c r="D951" s="412">
        <v>2.5000000000000001E-2</v>
      </c>
      <c r="E951" s="321">
        <v>28900</v>
      </c>
      <c r="F951" s="322" t="str">
        <f t="shared" si="255"/>
        <v/>
      </c>
      <c r="G951" s="322" t="str">
        <f t="shared" si="256"/>
        <v/>
      </c>
      <c r="H951" s="322" t="str">
        <f t="shared" si="257"/>
        <v/>
      </c>
      <c r="I951" s="323">
        <f t="shared" si="258"/>
        <v>722.5</v>
      </c>
    </row>
    <row r="952" spans="1:9" ht="15.6" hidden="1" x14ac:dyDescent="0.3">
      <c r="A952" s="350" t="s">
        <v>32</v>
      </c>
      <c r="B952" s="349" t="s">
        <v>415</v>
      </c>
      <c r="C952" s="351" t="s">
        <v>235</v>
      </c>
      <c r="D952" s="412">
        <v>8.6900000000000005E-2</v>
      </c>
      <c r="E952" s="321">
        <v>36900</v>
      </c>
      <c r="F952" s="322" t="str">
        <f t="shared" si="255"/>
        <v/>
      </c>
      <c r="G952" s="322">
        <f t="shared" si="256"/>
        <v>3206.61</v>
      </c>
      <c r="H952" s="322" t="str">
        <f t="shared" si="257"/>
        <v/>
      </c>
      <c r="I952" s="323" t="str">
        <f t="shared" si="258"/>
        <v/>
      </c>
    </row>
    <row r="953" spans="1:9" ht="15.6" hidden="1" x14ac:dyDescent="0.3">
      <c r="A953" s="350" t="s">
        <v>32</v>
      </c>
      <c r="B953" s="349" t="s">
        <v>416</v>
      </c>
      <c r="C953" s="351" t="s">
        <v>5</v>
      </c>
      <c r="D953" s="412">
        <v>100</v>
      </c>
      <c r="E953" s="321">
        <v>51.8</v>
      </c>
      <c r="F953" s="322" t="str">
        <f t="shared" si="255"/>
        <v/>
      </c>
      <c r="G953" s="322">
        <f t="shared" si="256"/>
        <v>5180</v>
      </c>
      <c r="H953" s="322" t="str">
        <f t="shared" si="257"/>
        <v/>
      </c>
      <c r="I953" s="323" t="str">
        <f t="shared" si="258"/>
        <v/>
      </c>
    </row>
    <row r="954" spans="1:9" ht="33" hidden="1" customHeight="1" x14ac:dyDescent="0.3">
      <c r="A954" s="230" t="s">
        <v>32</v>
      </c>
      <c r="B954" s="234" t="s">
        <v>417</v>
      </c>
      <c r="C954" s="232" t="s">
        <v>102</v>
      </c>
      <c r="D954" s="530">
        <v>8.6900000000000005E-2</v>
      </c>
      <c r="E954" s="233">
        <f>200000*1.19</f>
        <v>238000</v>
      </c>
      <c r="F954" s="228" t="str">
        <f t="shared" si="255"/>
        <v/>
      </c>
      <c r="G954" s="228">
        <f t="shared" si="256"/>
        <v>20682.2</v>
      </c>
      <c r="H954" s="228" t="str">
        <f t="shared" si="257"/>
        <v/>
      </c>
      <c r="I954" s="229" t="str">
        <f t="shared" si="258"/>
        <v/>
      </c>
    </row>
    <row r="955" spans="1:9" ht="15.6" hidden="1" x14ac:dyDescent="0.3">
      <c r="A955" s="270"/>
      <c r="B955" s="268"/>
      <c r="C955" s="268"/>
      <c r="D955" s="569"/>
      <c r="E955" s="374"/>
      <c r="F955" s="268"/>
      <c r="G955" s="268"/>
      <c r="H955" s="268"/>
      <c r="I955" s="271"/>
    </row>
    <row r="956" spans="1:9" ht="16.2" hidden="1" thickBot="1" x14ac:dyDescent="0.35">
      <c r="A956" s="342"/>
      <c r="B956" s="343" t="s">
        <v>31</v>
      </c>
      <c r="C956" s="344">
        <f>ROUND(SUM(F956:I956),0)</f>
        <v>95507</v>
      </c>
      <c r="D956" s="522" t="str">
        <f>+C945</f>
        <v>Jr</v>
      </c>
      <c r="E956" s="345"/>
      <c r="F956" s="346">
        <f>SUM(F949:F955)</f>
        <v>60848</v>
      </c>
      <c r="G956" s="346">
        <f>SUM(G949:G955)</f>
        <v>29068.81</v>
      </c>
      <c r="H956" s="346">
        <f>SUM(H949:H955)</f>
        <v>4867.84</v>
      </c>
      <c r="I956" s="352">
        <f>SUM(I949:I955)</f>
        <v>722.5</v>
      </c>
    </row>
    <row r="957" spans="1:9" ht="15" thickBot="1" x14ac:dyDescent="0.35"/>
    <row r="958" spans="1:9" ht="16.2" thickTop="1" x14ac:dyDescent="0.3">
      <c r="A958" s="870" t="s">
        <v>35</v>
      </c>
      <c r="B958" s="871"/>
      <c r="C958" s="872" t="s">
        <v>198</v>
      </c>
      <c r="D958" s="873"/>
      <c r="E958" s="873"/>
      <c r="F958" s="873"/>
      <c r="G958" s="873"/>
      <c r="H958" s="873"/>
      <c r="I958" s="874"/>
    </row>
    <row r="959" spans="1:9" ht="15.6" x14ac:dyDescent="0.3">
      <c r="A959" s="939" t="s">
        <v>12</v>
      </c>
      <c r="B959" s="940"/>
      <c r="C959" s="877" t="s">
        <v>286</v>
      </c>
      <c r="D959" s="878"/>
      <c r="E959" s="878"/>
      <c r="F959" s="878"/>
      <c r="G959" s="878"/>
      <c r="H959" s="878"/>
      <c r="I959" s="879"/>
    </row>
    <row r="960" spans="1:9" ht="15.6" x14ac:dyDescent="0.3">
      <c r="A960" s="875" t="s">
        <v>13</v>
      </c>
      <c r="B960" s="876"/>
      <c r="C960" s="877" t="s">
        <v>5</v>
      </c>
      <c r="D960" s="878"/>
      <c r="E960" s="878"/>
      <c r="F960" s="878"/>
      <c r="G960" s="878"/>
      <c r="H960" s="878"/>
      <c r="I960" s="879"/>
    </row>
    <row r="961" spans="1:9" ht="15.6" x14ac:dyDescent="0.3">
      <c r="A961" s="880" t="s">
        <v>14</v>
      </c>
      <c r="B961" s="882" t="s">
        <v>15</v>
      </c>
      <c r="C961" s="883" t="s">
        <v>16</v>
      </c>
      <c r="D961" s="885" t="s">
        <v>17</v>
      </c>
      <c r="E961" s="887" t="s">
        <v>18</v>
      </c>
      <c r="F961" s="889" t="s">
        <v>19</v>
      </c>
      <c r="G961" s="890"/>
      <c r="H961" s="890"/>
      <c r="I961" s="891"/>
    </row>
    <row r="962" spans="1:9" ht="31.8" thickBot="1" x14ac:dyDescent="0.35">
      <c r="A962" s="881"/>
      <c r="B962" s="883"/>
      <c r="C962" s="884"/>
      <c r="D962" s="886"/>
      <c r="E962" s="888"/>
      <c r="F962" s="481" t="s">
        <v>20</v>
      </c>
      <c r="G962" s="481" t="s">
        <v>21</v>
      </c>
      <c r="H962" s="481" t="s">
        <v>22</v>
      </c>
      <c r="I962" s="362" t="s">
        <v>23</v>
      </c>
    </row>
    <row r="963" spans="1:9" ht="16.8" thickTop="1" thickBot="1" x14ac:dyDescent="0.35">
      <c r="A963" s="99"/>
      <c r="B963" s="99"/>
      <c r="C963" s="99"/>
      <c r="D963" s="526"/>
      <c r="E963" s="100"/>
      <c r="F963" s="99"/>
      <c r="G963" s="99"/>
      <c r="H963" s="99"/>
      <c r="I963" s="99"/>
    </row>
    <row r="964" spans="1:9" ht="16.2" thickTop="1" x14ac:dyDescent="0.3">
      <c r="A964" s="350" t="s">
        <v>26</v>
      </c>
      <c r="B964" s="349" t="s">
        <v>199</v>
      </c>
      <c r="C964" s="351" t="s">
        <v>200</v>
      </c>
      <c r="D964" s="412">
        <v>2.0833333333333332E-2</v>
      </c>
      <c r="E964" s="321">
        <f>1500*7*18</f>
        <v>189000</v>
      </c>
      <c r="F964" s="322" t="str">
        <f t="shared" ref="F964:F967" si="259">IF(A964="MO",D964*E964,"")</f>
        <v/>
      </c>
      <c r="G964" s="322" t="str">
        <f t="shared" ref="G964:G967" si="260">IF(A964="MA",D964*E964,"")</f>
        <v/>
      </c>
      <c r="H964" s="322" t="str">
        <f t="shared" ref="H964:H967" si="261">IF(A964="HE",D964*E964,"")</f>
        <v/>
      </c>
      <c r="I964" s="323">
        <f t="shared" ref="I964:I967" si="262">IF(A964="OT",D964*E964,"")</f>
        <v>3937.5</v>
      </c>
    </row>
    <row r="965" spans="1:9" ht="15.6" x14ac:dyDescent="0.3">
      <c r="A965" s="350" t="s">
        <v>24</v>
      </c>
      <c r="B965" s="349" t="s">
        <v>206</v>
      </c>
      <c r="C965" s="351" t="s">
        <v>25</v>
      </c>
      <c r="D965" s="412">
        <v>0.12</v>
      </c>
      <c r="E965" s="321">
        <f>+'M.O 2020'!B11</f>
        <v>236192</v>
      </c>
      <c r="F965" s="322">
        <f t="shared" si="259"/>
        <v>28343.039999999997</v>
      </c>
      <c r="G965" s="322" t="str">
        <f t="shared" si="260"/>
        <v/>
      </c>
      <c r="H965" s="322" t="str">
        <f t="shared" si="261"/>
        <v/>
      </c>
      <c r="I965" s="323" t="str">
        <f t="shared" si="262"/>
        <v/>
      </c>
    </row>
    <row r="966" spans="1:9" ht="15.6" x14ac:dyDescent="0.3">
      <c r="A966" s="350" t="s">
        <v>29</v>
      </c>
      <c r="B966" s="349" t="s">
        <v>30</v>
      </c>
      <c r="C966" s="351" t="s">
        <v>28</v>
      </c>
      <c r="D966" s="412">
        <v>0.1</v>
      </c>
      <c r="E966" s="321">
        <f>F965</f>
        <v>28343.039999999997</v>
      </c>
      <c r="F966" s="322" t="str">
        <f t="shared" si="259"/>
        <v/>
      </c>
      <c r="G966" s="322" t="str">
        <f t="shared" si="260"/>
        <v/>
      </c>
      <c r="H966" s="322">
        <f t="shared" si="261"/>
        <v>2834.3040000000001</v>
      </c>
      <c r="I966" s="323" t="str">
        <f t="shared" si="262"/>
        <v/>
      </c>
    </row>
    <row r="967" spans="1:9" ht="15.6" x14ac:dyDescent="0.3">
      <c r="A967" s="350"/>
      <c r="B967" s="319"/>
      <c r="C967" s="351"/>
      <c r="D967" s="412"/>
      <c r="E967" s="321"/>
      <c r="F967" s="322" t="str">
        <f t="shared" si="259"/>
        <v/>
      </c>
      <c r="G967" s="322" t="str">
        <f t="shared" si="260"/>
        <v/>
      </c>
      <c r="H967" s="322" t="str">
        <f t="shared" si="261"/>
        <v/>
      </c>
      <c r="I967" s="323" t="str">
        <f t="shared" si="262"/>
        <v/>
      </c>
    </row>
    <row r="968" spans="1:9" ht="15.75" customHeight="1" thickBot="1" x14ac:dyDescent="0.35">
      <c r="A968" s="342"/>
      <c r="B968" s="343" t="s">
        <v>31</v>
      </c>
      <c r="C968" s="344">
        <f>ROUND(SUM(F968:I968),0)</f>
        <v>35115</v>
      </c>
      <c r="D968" s="522" t="str">
        <f>+C960</f>
        <v>m</v>
      </c>
      <c r="E968" s="345"/>
      <c r="F968" s="346">
        <f>SUM(F964:F967)</f>
        <v>28343.039999999997</v>
      </c>
      <c r="G968" s="346">
        <f>SUM(G964:G967)</f>
        <v>0</v>
      </c>
      <c r="H968" s="346">
        <f>SUM(H964:H967)</f>
        <v>2834.3040000000001</v>
      </c>
      <c r="I968" s="352">
        <f>SUM(I964:I967)</f>
        <v>3937.5</v>
      </c>
    </row>
    <row r="969" spans="1:9" ht="15.6" thickTop="1" thickBot="1" x14ac:dyDescent="0.35"/>
    <row r="970" spans="1:9" ht="15.75" customHeight="1" thickTop="1" x14ac:dyDescent="0.3">
      <c r="A970" s="870" t="s">
        <v>35</v>
      </c>
      <c r="B970" s="871"/>
      <c r="C970" s="872" t="s">
        <v>287</v>
      </c>
      <c r="D970" s="873"/>
      <c r="E970" s="873"/>
      <c r="F970" s="873"/>
      <c r="G970" s="873"/>
      <c r="H970" s="873"/>
      <c r="I970" s="874"/>
    </row>
    <row r="971" spans="1:9" ht="15.6" x14ac:dyDescent="0.3">
      <c r="A971" s="939" t="s">
        <v>12</v>
      </c>
      <c r="B971" s="940"/>
      <c r="C971" s="877" t="s">
        <v>288</v>
      </c>
      <c r="D971" s="878"/>
      <c r="E971" s="878"/>
      <c r="F971" s="878"/>
      <c r="G971" s="878"/>
      <c r="H971" s="878"/>
      <c r="I971" s="879"/>
    </row>
    <row r="972" spans="1:9" ht="15.6" x14ac:dyDescent="0.3">
      <c r="A972" s="875" t="s">
        <v>13</v>
      </c>
      <c r="B972" s="876"/>
      <c r="C972" s="877" t="s">
        <v>289</v>
      </c>
      <c r="D972" s="878"/>
      <c r="E972" s="878"/>
      <c r="F972" s="878"/>
      <c r="G972" s="878"/>
      <c r="H972" s="878"/>
      <c r="I972" s="879"/>
    </row>
    <row r="973" spans="1:9" ht="15.6" x14ac:dyDescent="0.3">
      <c r="A973" s="880" t="s">
        <v>14</v>
      </c>
      <c r="B973" s="882" t="s">
        <v>15</v>
      </c>
      <c r="C973" s="883" t="s">
        <v>16</v>
      </c>
      <c r="D973" s="885" t="s">
        <v>17</v>
      </c>
      <c r="E973" s="887" t="s">
        <v>18</v>
      </c>
      <c r="F973" s="889" t="s">
        <v>19</v>
      </c>
      <c r="G973" s="890"/>
      <c r="H973" s="890"/>
      <c r="I973" s="891"/>
    </row>
    <row r="974" spans="1:9" ht="31.8" thickBot="1" x14ac:dyDescent="0.35">
      <c r="A974" s="881"/>
      <c r="B974" s="883"/>
      <c r="C974" s="884"/>
      <c r="D974" s="886"/>
      <c r="E974" s="888"/>
      <c r="F974" s="481" t="s">
        <v>20</v>
      </c>
      <c r="G974" s="481" t="s">
        <v>21</v>
      </c>
      <c r="H974" s="481" t="s">
        <v>22</v>
      </c>
      <c r="I974" s="362" t="s">
        <v>23</v>
      </c>
    </row>
    <row r="975" spans="1:9" ht="16.8" thickTop="1" thickBot="1" x14ac:dyDescent="0.35">
      <c r="A975" s="380"/>
      <c r="B975" s="380"/>
      <c r="C975" s="380"/>
      <c r="D975" s="518"/>
      <c r="E975" s="381"/>
      <c r="F975" s="380"/>
      <c r="G975" s="380"/>
      <c r="H975" s="380"/>
      <c r="I975" s="380"/>
    </row>
    <row r="976" spans="1:9" ht="16.8" thickTop="1" thickBot="1" x14ac:dyDescent="0.35">
      <c r="A976" s="375"/>
      <c r="B976" s="409" t="s">
        <v>290</v>
      </c>
      <c r="C976" s="409"/>
      <c r="D976" s="570"/>
      <c r="E976" s="410"/>
      <c r="F976" s="411"/>
      <c r="G976" s="411"/>
      <c r="H976" s="411"/>
      <c r="I976" s="411"/>
    </row>
    <row r="977" spans="1:9" ht="16.2" thickTop="1" x14ac:dyDescent="0.3">
      <c r="A977" s="375" t="s">
        <v>32</v>
      </c>
      <c r="B977" s="349" t="s">
        <v>291</v>
      </c>
      <c r="C977" s="412" t="s">
        <v>111</v>
      </c>
      <c r="D977" s="412">
        <v>1</v>
      </c>
      <c r="E977" s="321">
        <f>+'especiales '!D178</f>
        <v>14904557.4</v>
      </c>
      <c r="F977" s="394" t="str">
        <f t="shared" ref="F977" si="263">IF(A977="MO",D977*E977,"")</f>
        <v/>
      </c>
      <c r="G977" s="413">
        <f>E977*D977</f>
        <v>14904557.4</v>
      </c>
      <c r="H977" s="394" t="str">
        <f>IF(B977="MA",E977*F977,"")</f>
        <v/>
      </c>
      <c r="I977" s="395" t="str">
        <f t="shared" ref="I977" si="264">IF(A977="OT",D977*E977,"")</f>
        <v/>
      </c>
    </row>
    <row r="978" spans="1:9" ht="15.6" x14ac:dyDescent="0.3">
      <c r="A978" s="375" t="s">
        <v>24</v>
      </c>
      <c r="B978" s="349" t="s">
        <v>292</v>
      </c>
      <c r="C978" s="412" t="s">
        <v>113</v>
      </c>
      <c r="D978" s="412">
        <v>3</v>
      </c>
      <c r="E978" s="321">
        <f>+'especiales '!D179</f>
        <v>1596916.9</v>
      </c>
      <c r="F978" s="414"/>
      <c r="G978" s="414"/>
      <c r="H978" s="415">
        <f>E978*D978</f>
        <v>4790750.6999999993</v>
      </c>
      <c r="I978" s="416"/>
    </row>
    <row r="979" spans="1:9" ht="15.6" x14ac:dyDescent="0.3">
      <c r="A979" s="375" t="s">
        <v>24</v>
      </c>
      <c r="B979" s="349" t="s">
        <v>293</v>
      </c>
      <c r="C979" s="412" t="s">
        <v>113</v>
      </c>
      <c r="D979" s="412">
        <v>6</v>
      </c>
      <c r="E979" s="321">
        <f>+'especiales '!D180</f>
        <v>1064611.2</v>
      </c>
      <c r="F979" s="414"/>
      <c r="G979" s="414"/>
      <c r="H979" s="415">
        <f>E979*D979</f>
        <v>6387667.1999999993</v>
      </c>
      <c r="I979" s="416"/>
    </row>
    <row r="980" spans="1:9" ht="15.6" x14ac:dyDescent="0.3">
      <c r="A980" s="375" t="s">
        <v>24</v>
      </c>
      <c r="B980" s="349" t="s">
        <v>223</v>
      </c>
      <c r="C980" s="351" t="s">
        <v>294</v>
      </c>
      <c r="D980" s="412">
        <v>60</v>
      </c>
      <c r="E980" s="321">
        <f>+'M.O 2020'!B5</f>
        <v>121696</v>
      </c>
      <c r="F980" s="386">
        <f>IF(A980="MO",D980*E980,"")</f>
        <v>7301760</v>
      </c>
      <c r="G980" s="322" t="str">
        <f>IF(A980="MA",D980*E980,"")</f>
        <v/>
      </c>
      <c r="H980" s="322" t="str">
        <f>IF(A980="HE",D980*E980,"")</f>
        <v/>
      </c>
      <c r="I980" s="323" t="str">
        <f>IF(A980="OT",D980*E980,"")</f>
        <v/>
      </c>
    </row>
    <row r="981" spans="1:9" ht="15.6" x14ac:dyDescent="0.3">
      <c r="A981" s="375" t="s">
        <v>29</v>
      </c>
      <c r="B981" s="349" t="s">
        <v>295</v>
      </c>
      <c r="C981" s="351" t="s">
        <v>111</v>
      </c>
      <c r="D981" s="412">
        <v>1</v>
      </c>
      <c r="E981" s="321">
        <f>+'especiales '!D181</f>
        <v>1596916.9</v>
      </c>
      <c r="F981" s="322"/>
      <c r="G981" s="322"/>
      <c r="H981" s="322"/>
      <c r="I981" s="417">
        <f>E981*D981</f>
        <v>1596916.9</v>
      </c>
    </row>
    <row r="982" spans="1:9" ht="15.6" x14ac:dyDescent="0.3">
      <c r="A982" s="375" t="s">
        <v>29</v>
      </c>
      <c r="B982" s="349" t="s">
        <v>296</v>
      </c>
      <c r="C982" s="351" t="s">
        <v>111</v>
      </c>
      <c r="D982" s="412">
        <v>1</v>
      </c>
      <c r="E982" s="321">
        <f>+'especiales '!D182</f>
        <v>532305.6</v>
      </c>
      <c r="F982" s="322"/>
      <c r="G982" s="322"/>
      <c r="H982" s="322">
        <f>D982*E982</f>
        <v>532305.6</v>
      </c>
      <c r="I982" s="323"/>
    </row>
    <row r="983" spans="1:9" ht="15.6" x14ac:dyDescent="0.3">
      <c r="A983" s="375"/>
      <c r="B983" s="349"/>
      <c r="C983" s="412"/>
      <c r="D983" s="412"/>
      <c r="E983" s="321"/>
      <c r="F983" s="322" t="str">
        <f>IF(A983="MO",D983*E983,"")</f>
        <v/>
      </c>
      <c r="G983" s="322" t="str">
        <f>IF(A983="MA",D983*E983,"")</f>
        <v/>
      </c>
      <c r="H983" s="322" t="str">
        <f>IF(A983="HE",D983*E983,"")</f>
        <v/>
      </c>
      <c r="I983" s="323" t="str">
        <f>IF(A983="OT",D983*E983,"")</f>
        <v/>
      </c>
    </row>
    <row r="984" spans="1:9" ht="16.2" thickBot="1" x14ac:dyDescent="0.35">
      <c r="A984" s="342"/>
      <c r="B984" s="343" t="s">
        <v>297</v>
      </c>
      <c r="C984" s="344">
        <f>F984+G984+H984+I984</f>
        <v>35513957.799999997</v>
      </c>
      <c r="D984" s="522" t="str">
        <f>+C972</f>
        <v>Ton</v>
      </c>
      <c r="E984" s="345"/>
      <c r="F984" s="418">
        <f>SUM(F977:F983)</f>
        <v>7301760</v>
      </c>
      <c r="G984" s="418">
        <f>SUM(G977:G983)</f>
        <v>14904557.4</v>
      </c>
      <c r="H984" s="418">
        <f>SUM(H977:H983)</f>
        <v>11710723.499999998</v>
      </c>
      <c r="I984" s="418">
        <f>SUM(I977:I983)</f>
        <v>1596916.9</v>
      </c>
    </row>
    <row r="985" spans="1:9" ht="32.25" customHeight="1" thickTop="1" x14ac:dyDescent="0.3">
      <c r="A985" s="375"/>
      <c r="B985" s="349"/>
      <c r="C985" s="412"/>
      <c r="D985" s="412" t="s">
        <v>7</v>
      </c>
      <c r="E985" s="419" t="s">
        <v>298</v>
      </c>
      <c r="F985" s="420" t="s">
        <v>299</v>
      </c>
      <c r="G985" s="414"/>
      <c r="H985" s="415"/>
      <c r="I985" s="416"/>
    </row>
    <row r="986" spans="1:9" ht="15.6" x14ac:dyDescent="0.3">
      <c r="A986" s="375"/>
      <c r="B986" s="349" t="s">
        <v>300</v>
      </c>
      <c r="C986" s="412"/>
      <c r="D986" s="412">
        <v>580</v>
      </c>
      <c r="E986" s="419">
        <v>2.4</v>
      </c>
      <c r="F986" s="414">
        <f>+D986*E986</f>
        <v>1392</v>
      </c>
      <c r="G986" s="414"/>
      <c r="H986" s="415"/>
      <c r="I986" s="416"/>
    </row>
    <row r="987" spans="1:9" ht="15.6" x14ac:dyDescent="0.3">
      <c r="A987" s="375"/>
      <c r="B987" s="349" t="s">
        <v>301</v>
      </c>
      <c r="C987" s="412"/>
      <c r="D987" s="412">
        <v>540</v>
      </c>
      <c r="E987" s="419">
        <v>2</v>
      </c>
      <c r="F987" s="414">
        <f>+D987*E987</f>
        <v>1080</v>
      </c>
      <c r="G987" s="414"/>
      <c r="H987" s="415"/>
      <c r="I987" s="416"/>
    </row>
    <row r="988" spans="1:9" ht="15.6" x14ac:dyDescent="0.3">
      <c r="A988" s="375"/>
      <c r="B988" s="349" t="s">
        <v>302</v>
      </c>
      <c r="C988" s="412"/>
      <c r="D988" s="412">
        <v>1018</v>
      </c>
      <c r="E988" s="419">
        <v>1.8</v>
      </c>
      <c r="F988" s="414">
        <f>+D988*E988</f>
        <v>1832.4</v>
      </c>
      <c r="G988" s="414"/>
      <c r="H988" s="415"/>
      <c r="I988" s="416"/>
    </row>
    <row r="989" spans="1:9" ht="15.6" x14ac:dyDescent="0.3">
      <c r="A989" s="375"/>
      <c r="B989" s="349"/>
      <c r="C989" s="412"/>
      <c r="D989" s="412"/>
      <c r="E989" s="419"/>
      <c r="F989" s="414">
        <f>SUM(F986:F988)</f>
        <v>4304.3999999999996</v>
      </c>
      <c r="G989" s="414"/>
      <c r="H989" s="415"/>
      <c r="I989" s="416"/>
    </row>
    <row r="990" spans="1:9" ht="15.6" x14ac:dyDescent="0.3">
      <c r="A990" s="375"/>
      <c r="B990" s="421" t="s">
        <v>303</v>
      </c>
      <c r="C990" s="486">
        <f>+C984/F989</f>
        <v>8250.6174612024897</v>
      </c>
      <c r="D990" s="412"/>
      <c r="E990" s="321"/>
      <c r="F990" s="414"/>
      <c r="G990" s="414"/>
      <c r="H990" s="415"/>
      <c r="I990" s="416"/>
    </row>
    <row r="992" spans="1:9" ht="16.2" hidden="1" thickTop="1" x14ac:dyDescent="0.3">
      <c r="A992" s="892" t="s">
        <v>35</v>
      </c>
      <c r="B992" s="893"/>
      <c r="C992" s="894" t="s">
        <v>491</v>
      </c>
      <c r="D992" s="895"/>
      <c r="E992" s="895"/>
      <c r="F992" s="895"/>
      <c r="G992" s="895"/>
      <c r="H992" s="895"/>
      <c r="I992" s="896"/>
    </row>
    <row r="993" spans="1:9" ht="15.6" hidden="1" x14ac:dyDescent="0.3">
      <c r="A993" s="897" t="s">
        <v>12</v>
      </c>
      <c r="B993" s="898"/>
      <c r="C993" s="899" t="s">
        <v>497</v>
      </c>
      <c r="D993" s="900"/>
      <c r="E993" s="900"/>
      <c r="F993" s="900"/>
      <c r="G993" s="900"/>
      <c r="H993" s="900"/>
      <c r="I993" s="901"/>
    </row>
    <row r="994" spans="1:9" ht="15.6" hidden="1" x14ac:dyDescent="0.3">
      <c r="A994" s="897" t="s">
        <v>13</v>
      </c>
      <c r="B994" s="898"/>
      <c r="C994" s="902" t="s">
        <v>4</v>
      </c>
      <c r="D994" s="903"/>
      <c r="E994" s="903"/>
      <c r="F994" s="903"/>
      <c r="G994" s="903"/>
      <c r="H994" s="903"/>
      <c r="I994" s="904"/>
    </row>
    <row r="995" spans="1:9" ht="15.6" hidden="1" x14ac:dyDescent="0.3">
      <c r="A995" s="905" t="s">
        <v>14</v>
      </c>
      <c r="B995" s="907" t="s">
        <v>15</v>
      </c>
      <c r="C995" s="908" t="s">
        <v>16</v>
      </c>
      <c r="D995" s="910" t="s">
        <v>17</v>
      </c>
      <c r="E995" s="912" t="s">
        <v>18</v>
      </c>
      <c r="F995" s="914" t="s">
        <v>19</v>
      </c>
      <c r="G995" s="915"/>
      <c r="H995" s="915"/>
      <c r="I995" s="916"/>
    </row>
    <row r="996" spans="1:9" ht="31.8" hidden="1" thickBot="1" x14ac:dyDescent="0.35">
      <c r="A996" s="906"/>
      <c r="B996" s="908"/>
      <c r="C996" s="909"/>
      <c r="D996" s="911"/>
      <c r="E996" s="913"/>
      <c r="F996" s="571" t="s">
        <v>20</v>
      </c>
      <c r="G996" s="571" t="s">
        <v>21</v>
      </c>
      <c r="H996" s="571" t="s">
        <v>22</v>
      </c>
      <c r="I996" s="572" t="s">
        <v>23</v>
      </c>
    </row>
    <row r="997" spans="1:9" ht="16.8" hidden="1" thickTop="1" thickBot="1" x14ac:dyDescent="0.35">
      <c r="A997" s="99"/>
      <c r="B997" s="99"/>
      <c r="C997" s="99"/>
      <c r="D997" s="526"/>
      <c r="E997" s="100"/>
      <c r="F997" s="99"/>
      <c r="G997" s="99"/>
      <c r="H997" s="99"/>
      <c r="I997" s="99"/>
    </row>
    <row r="998" spans="1:9" ht="33.6" hidden="1" x14ac:dyDescent="0.3">
      <c r="A998" s="230" t="s">
        <v>32</v>
      </c>
      <c r="B998" s="234" t="s">
        <v>811</v>
      </c>
      <c r="C998" s="232" t="s">
        <v>113</v>
      </c>
      <c r="D998" s="530">
        <v>150</v>
      </c>
      <c r="E998" s="233">
        <v>3000</v>
      </c>
      <c r="F998" s="228" t="str">
        <f>IF(A998="MO",D998*E998,"")</f>
        <v/>
      </c>
      <c r="G998" s="228">
        <f>IF(A998="MA",D998*E998,"")</f>
        <v>450000</v>
      </c>
      <c r="H998" s="228" t="str">
        <f>IF(A998="HE",D998*E998,"")</f>
        <v/>
      </c>
      <c r="I998" s="229" t="str">
        <f>IF(A998="OT",D998*E998,"")</f>
        <v/>
      </c>
    </row>
    <row r="999" spans="1:9" ht="15.6" hidden="1" x14ac:dyDescent="0.3">
      <c r="A999" s="230" t="s">
        <v>32</v>
      </c>
      <c r="B999" s="234" t="s">
        <v>498</v>
      </c>
      <c r="C999" s="232" t="s">
        <v>113</v>
      </c>
      <c r="D999" s="530">
        <v>17</v>
      </c>
      <c r="E999" s="233">
        <v>1500</v>
      </c>
      <c r="F999" s="228" t="str">
        <f t="shared" ref="F999:F1004" si="265">IF(A999="MO",D999*E999,"")</f>
        <v/>
      </c>
      <c r="G999" s="228">
        <f t="shared" ref="G999:G1004" si="266">IF(A999="MA",D999*E999,"")</f>
        <v>25500</v>
      </c>
      <c r="H999" s="228" t="str">
        <f t="shared" ref="H999:H1004" si="267">IF(A999="HE",D999*E999,"")</f>
        <v/>
      </c>
      <c r="I999" s="229" t="str">
        <f t="shared" ref="I999:I1004" si="268">IF(A999="OT",D999*E999,"")</f>
        <v/>
      </c>
    </row>
    <row r="1000" spans="1:9" ht="31.2" hidden="1" x14ac:dyDescent="0.3">
      <c r="A1000" s="230" t="s">
        <v>32</v>
      </c>
      <c r="B1000" s="234" t="s">
        <v>499</v>
      </c>
      <c r="C1000" s="232" t="s">
        <v>113</v>
      </c>
      <c r="D1000" s="530">
        <v>17</v>
      </c>
      <c r="E1000" s="233">
        <v>500</v>
      </c>
      <c r="F1000" s="228" t="str">
        <f t="shared" si="265"/>
        <v/>
      </c>
      <c r="G1000" s="228">
        <f t="shared" si="266"/>
        <v>8500</v>
      </c>
      <c r="H1000" s="228" t="str">
        <f t="shared" si="267"/>
        <v/>
      </c>
      <c r="I1000" s="229" t="str">
        <f t="shared" si="268"/>
        <v/>
      </c>
    </row>
    <row r="1001" spans="1:9" ht="15.6" hidden="1" x14ac:dyDescent="0.3">
      <c r="A1001" s="230" t="s">
        <v>32</v>
      </c>
      <c r="B1001" s="234" t="s">
        <v>500</v>
      </c>
      <c r="C1001" s="232" t="s">
        <v>113</v>
      </c>
      <c r="D1001" s="530">
        <v>17</v>
      </c>
      <c r="E1001" s="233">
        <v>1200</v>
      </c>
      <c r="F1001" s="228" t="str">
        <f t="shared" si="265"/>
        <v/>
      </c>
      <c r="G1001" s="228">
        <f t="shared" si="266"/>
        <v>20400</v>
      </c>
      <c r="H1001" s="228" t="str">
        <f t="shared" si="267"/>
        <v/>
      </c>
      <c r="I1001" s="229" t="str">
        <f t="shared" si="268"/>
        <v/>
      </c>
    </row>
    <row r="1002" spans="1:9" ht="15.6" hidden="1" x14ac:dyDescent="0.3">
      <c r="A1002" s="230" t="s">
        <v>26</v>
      </c>
      <c r="B1002" s="234" t="s">
        <v>501</v>
      </c>
      <c r="C1002" s="232" t="s">
        <v>200</v>
      </c>
      <c r="D1002" s="530">
        <v>3</v>
      </c>
      <c r="E1002" s="233">
        <v>250000</v>
      </c>
      <c r="F1002" s="228" t="str">
        <f t="shared" si="265"/>
        <v/>
      </c>
      <c r="G1002" s="228" t="str">
        <f t="shared" si="266"/>
        <v/>
      </c>
      <c r="H1002" s="228" t="str">
        <f t="shared" si="267"/>
        <v/>
      </c>
      <c r="I1002" s="229">
        <f t="shared" si="268"/>
        <v>750000</v>
      </c>
    </row>
    <row r="1003" spans="1:9" ht="15.6" hidden="1" x14ac:dyDescent="0.3">
      <c r="A1003" s="230" t="s">
        <v>32</v>
      </c>
      <c r="B1003" s="234" t="s">
        <v>502</v>
      </c>
      <c r="C1003" s="232" t="s">
        <v>113</v>
      </c>
      <c r="D1003" s="530">
        <f>SUM(D998:D1001)</f>
        <v>201</v>
      </c>
      <c r="E1003" s="233">
        <v>600</v>
      </c>
      <c r="F1003" s="228" t="str">
        <f t="shared" si="265"/>
        <v/>
      </c>
      <c r="G1003" s="228">
        <f t="shared" si="266"/>
        <v>120600</v>
      </c>
      <c r="H1003" s="228" t="str">
        <f t="shared" si="267"/>
        <v/>
      </c>
      <c r="I1003" s="229" t="str">
        <f t="shared" si="268"/>
        <v/>
      </c>
    </row>
    <row r="1004" spans="1:9" ht="15.6" hidden="1" x14ac:dyDescent="0.3">
      <c r="A1004" s="230" t="s">
        <v>32</v>
      </c>
      <c r="B1004" s="234" t="s">
        <v>503</v>
      </c>
      <c r="C1004" s="232" t="s">
        <v>504</v>
      </c>
      <c r="D1004" s="530">
        <v>2</v>
      </c>
      <c r="E1004" s="233">
        <v>100000</v>
      </c>
      <c r="F1004" s="228" t="str">
        <f t="shared" si="265"/>
        <v/>
      </c>
      <c r="G1004" s="228">
        <f t="shared" si="266"/>
        <v>200000</v>
      </c>
      <c r="H1004" s="228" t="str">
        <f t="shared" si="267"/>
        <v/>
      </c>
      <c r="I1004" s="229" t="str">
        <f t="shared" si="268"/>
        <v/>
      </c>
    </row>
    <row r="1005" spans="1:9" ht="15.6" hidden="1" x14ac:dyDescent="0.3">
      <c r="A1005" s="230" t="s">
        <v>32</v>
      </c>
      <c r="B1005" s="234" t="s">
        <v>505</v>
      </c>
      <c r="C1005" s="232" t="str">
        <f>+C1003</f>
        <v>Un</v>
      </c>
      <c r="D1005" s="573">
        <f>+D1003</f>
        <v>201</v>
      </c>
      <c r="E1005" s="233">
        <v>3200</v>
      </c>
      <c r="F1005" s="228" t="str">
        <f>IF(A1005="MO",D1005*E1005,"")</f>
        <v/>
      </c>
      <c r="G1005" s="228">
        <f>IF(A1005="MA",D1005*E1005,"")</f>
        <v>643200</v>
      </c>
      <c r="H1005" s="228" t="str">
        <f>IF(A1005="HE",D1005*E1005,"")</f>
        <v/>
      </c>
      <c r="I1005" s="229" t="str">
        <f>IF(A1005="OT",D1005*E1005,"")</f>
        <v/>
      </c>
    </row>
    <row r="1006" spans="1:9" ht="15.6" hidden="1" x14ac:dyDescent="0.3">
      <c r="A1006" s="230"/>
      <c r="B1006" s="234"/>
      <c r="C1006" s="232"/>
      <c r="D1006" s="530"/>
      <c r="E1006" s="233"/>
      <c r="F1006" s="228"/>
      <c r="G1006" s="228"/>
      <c r="H1006" s="228"/>
      <c r="I1006" s="229"/>
    </row>
    <row r="1007" spans="1:9" ht="16.2" hidden="1" thickBot="1" x14ac:dyDescent="0.35">
      <c r="A1007" s="574"/>
      <c r="B1007" s="575" t="s">
        <v>31</v>
      </c>
      <c r="C1007" s="576">
        <f>ROUND(SUM(F1007:I1007),0)</f>
        <v>2218200</v>
      </c>
      <c r="D1007" s="577" t="str">
        <f>+C994</f>
        <v>m2</v>
      </c>
      <c r="E1007" s="578"/>
      <c r="F1007" s="579">
        <f>SUM(F998:F1006)</f>
        <v>0</v>
      </c>
      <c r="G1007" s="579">
        <f>SUM(G998:G1006)</f>
        <v>1468200</v>
      </c>
      <c r="H1007" s="579">
        <f>SUM(H998:H1006)</f>
        <v>0</v>
      </c>
      <c r="I1007" s="579">
        <f>SUM(I998:I1006)</f>
        <v>750000</v>
      </c>
    </row>
  </sheetData>
  <protectedRanges>
    <protectedRange sqref="B508" name="Rango1_2_1_1"/>
    <protectedRange sqref="C508:D508" name="Rango1_6_2_1_2"/>
    <protectedRange sqref="B509" name="Rango1_2_1"/>
    <protectedRange sqref="B511" name="Rango1_2_2"/>
    <protectedRange sqref="D511" name="Rango1_6_2_3"/>
    <protectedRange sqref="C511" name="Rango1_6_2_1_3"/>
  </protectedRanges>
  <mergeCells count="748">
    <mergeCell ref="C1:I4"/>
    <mergeCell ref="A6:B7"/>
    <mergeCell ref="C6:F7"/>
    <mergeCell ref="A1:B4"/>
    <mergeCell ref="A5:I5"/>
    <mergeCell ref="A531:B531"/>
    <mergeCell ref="C531:I531"/>
    <mergeCell ref="A532:B532"/>
    <mergeCell ref="C532:I532"/>
    <mergeCell ref="A228:B228"/>
    <mergeCell ref="C228:I228"/>
    <mergeCell ref="A229:B229"/>
    <mergeCell ref="C229:I229"/>
    <mergeCell ref="A230:B230"/>
    <mergeCell ref="C230:I230"/>
    <mergeCell ref="A231:A232"/>
    <mergeCell ref="B231:B232"/>
    <mergeCell ref="C231:C232"/>
    <mergeCell ref="D231:D232"/>
    <mergeCell ref="E231:E232"/>
    <mergeCell ref="F231:I231"/>
    <mergeCell ref="A149:B149"/>
    <mergeCell ref="C149:I149"/>
    <mergeCell ref="A150:B150"/>
    <mergeCell ref="A533:B533"/>
    <mergeCell ref="C533:I533"/>
    <mergeCell ref="A534:A535"/>
    <mergeCell ref="B534:B535"/>
    <mergeCell ref="C534:C535"/>
    <mergeCell ref="D534:D535"/>
    <mergeCell ref="E534:E535"/>
    <mergeCell ref="F534:I534"/>
    <mergeCell ref="A516:B516"/>
    <mergeCell ref="C516:I516"/>
    <mergeCell ref="A517:B517"/>
    <mergeCell ref="C517:I517"/>
    <mergeCell ref="A518:B518"/>
    <mergeCell ref="C518:I518"/>
    <mergeCell ref="A519:A520"/>
    <mergeCell ref="B519:B520"/>
    <mergeCell ref="C519:C520"/>
    <mergeCell ref="D519:D520"/>
    <mergeCell ref="E519:E520"/>
    <mergeCell ref="F519:I519"/>
    <mergeCell ref="A546:B546"/>
    <mergeCell ref="C546:I546"/>
    <mergeCell ref="A547:B547"/>
    <mergeCell ref="C547:I547"/>
    <mergeCell ref="A548:B548"/>
    <mergeCell ref="C548:I548"/>
    <mergeCell ref="A549:A550"/>
    <mergeCell ref="B549:B550"/>
    <mergeCell ref="C549:C550"/>
    <mergeCell ref="D549:D550"/>
    <mergeCell ref="E549:E550"/>
    <mergeCell ref="F549:I549"/>
    <mergeCell ref="C150:I150"/>
    <mergeCell ref="A151:B151"/>
    <mergeCell ref="C151:I151"/>
    <mergeCell ref="A152:A153"/>
    <mergeCell ref="B152:B153"/>
    <mergeCell ref="C152:C153"/>
    <mergeCell ref="D152:D153"/>
    <mergeCell ref="E152:E153"/>
    <mergeCell ref="F152:I152"/>
    <mergeCell ref="A875:B875"/>
    <mergeCell ref="C875:I875"/>
    <mergeCell ref="A876:B876"/>
    <mergeCell ref="C876:I876"/>
    <mergeCell ref="A877:B877"/>
    <mergeCell ref="C877:I877"/>
    <mergeCell ref="A878:A879"/>
    <mergeCell ref="C878:C879"/>
    <mergeCell ref="D878:D879"/>
    <mergeCell ref="E878:E879"/>
    <mergeCell ref="F878:I878"/>
    <mergeCell ref="A862:B862"/>
    <mergeCell ref="C862:I862"/>
    <mergeCell ref="A863:B863"/>
    <mergeCell ref="C863:I863"/>
    <mergeCell ref="A864:B864"/>
    <mergeCell ref="C864:I864"/>
    <mergeCell ref="A865:A866"/>
    <mergeCell ref="B865:B866"/>
    <mergeCell ref="C865:C866"/>
    <mergeCell ref="D865:D866"/>
    <mergeCell ref="E865:E866"/>
    <mergeCell ref="F865:I865"/>
    <mergeCell ref="A737:B737"/>
    <mergeCell ref="C737:I737"/>
    <mergeCell ref="A738:B738"/>
    <mergeCell ref="C738:I738"/>
    <mergeCell ref="A739:B739"/>
    <mergeCell ref="C739:I739"/>
    <mergeCell ref="A740:A741"/>
    <mergeCell ref="B740:B741"/>
    <mergeCell ref="C740:C741"/>
    <mergeCell ref="D740:D741"/>
    <mergeCell ref="E740:E741"/>
    <mergeCell ref="F740:I740"/>
    <mergeCell ref="A53:B53"/>
    <mergeCell ref="C53:I53"/>
    <mergeCell ref="A54:B54"/>
    <mergeCell ref="C54:I54"/>
    <mergeCell ref="A55:B55"/>
    <mergeCell ref="C55:I55"/>
    <mergeCell ref="A56:A57"/>
    <mergeCell ref="B56:B57"/>
    <mergeCell ref="C56:C57"/>
    <mergeCell ref="D56:D57"/>
    <mergeCell ref="E56:E57"/>
    <mergeCell ref="F56:I56"/>
    <mergeCell ref="A126:B126"/>
    <mergeCell ref="C126:I126"/>
    <mergeCell ref="A127:B127"/>
    <mergeCell ref="C127:I127"/>
    <mergeCell ref="A128:B128"/>
    <mergeCell ref="C128:I128"/>
    <mergeCell ref="A129:A130"/>
    <mergeCell ref="B129:B130"/>
    <mergeCell ref="C129:C130"/>
    <mergeCell ref="D129:D130"/>
    <mergeCell ref="E129:E130"/>
    <mergeCell ref="F129:I129"/>
    <mergeCell ref="A161:B161"/>
    <mergeCell ref="C161:I161"/>
    <mergeCell ref="A162:B162"/>
    <mergeCell ref="C162:I162"/>
    <mergeCell ref="A163:B163"/>
    <mergeCell ref="C163:I163"/>
    <mergeCell ref="A164:A165"/>
    <mergeCell ref="B164:B165"/>
    <mergeCell ref="C164:C165"/>
    <mergeCell ref="D164:D165"/>
    <mergeCell ref="E164:E165"/>
    <mergeCell ref="F164:I164"/>
    <mergeCell ref="A38:B38"/>
    <mergeCell ref="C38:I38"/>
    <mergeCell ref="A39:B39"/>
    <mergeCell ref="C39:I39"/>
    <mergeCell ref="A40:B40"/>
    <mergeCell ref="C40:I40"/>
    <mergeCell ref="A41:A42"/>
    <mergeCell ref="B41:B42"/>
    <mergeCell ref="C41:C42"/>
    <mergeCell ref="D41:D42"/>
    <mergeCell ref="E41:E42"/>
    <mergeCell ref="F41:I41"/>
    <mergeCell ref="A85:B85"/>
    <mergeCell ref="C85:I85"/>
    <mergeCell ref="A86:B86"/>
    <mergeCell ref="C86:I86"/>
    <mergeCell ref="A87:B87"/>
    <mergeCell ref="C87:I87"/>
    <mergeCell ref="A88:A89"/>
    <mergeCell ref="B88:B89"/>
    <mergeCell ref="C88:C89"/>
    <mergeCell ref="D88:D89"/>
    <mergeCell ref="E88:E89"/>
    <mergeCell ref="F88:I88"/>
    <mergeCell ref="A658:B658"/>
    <mergeCell ref="C658:I658"/>
    <mergeCell ref="A659:B659"/>
    <mergeCell ref="C659:I659"/>
    <mergeCell ref="A660:B660"/>
    <mergeCell ref="C660:I660"/>
    <mergeCell ref="A661:A662"/>
    <mergeCell ref="B661:B662"/>
    <mergeCell ref="C661:C662"/>
    <mergeCell ref="D661:D662"/>
    <mergeCell ref="E661:E662"/>
    <mergeCell ref="F661:I661"/>
    <mergeCell ref="A615:B615"/>
    <mergeCell ref="C615:I615"/>
    <mergeCell ref="A616:B616"/>
    <mergeCell ref="C616:I616"/>
    <mergeCell ref="A617:B617"/>
    <mergeCell ref="C617:I617"/>
    <mergeCell ref="A618:A619"/>
    <mergeCell ref="B618:B619"/>
    <mergeCell ref="C618:C619"/>
    <mergeCell ref="D618:D619"/>
    <mergeCell ref="E618:E619"/>
    <mergeCell ref="F618:I618"/>
    <mergeCell ref="A604:B604"/>
    <mergeCell ref="C604:I604"/>
    <mergeCell ref="A605:B605"/>
    <mergeCell ref="C605:I605"/>
    <mergeCell ref="A606:B606"/>
    <mergeCell ref="C606:I606"/>
    <mergeCell ref="A607:A608"/>
    <mergeCell ref="B607:B608"/>
    <mergeCell ref="C607:C608"/>
    <mergeCell ref="D607:D608"/>
    <mergeCell ref="E607:E608"/>
    <mergeCell ref="F607:I607"/>
    <mergeCell ref="A588:B588"/>
    <mergeCell ref="C588:I588"/>
    <mergeCell ref="A589:B589"/>
    <mergeCell ref="C589:I589"/>
    <mergeCell ref="A590:B590"/>
    <mergeCell ref="C590:I590"/>
    <mergeCell ref="A591:A592"/>
    <mergeCell ref="B591:B592"/>
    <mergeCell ref="C591:C592"/>
    <mergeCell ref="D591:D592"/>
    <mergeCell ref="E591:E592"/>
    <mergeCell ref="F591:I591"/>
    <mergeCell ref="A573:B573"/>
    <mergeCell ref="C573:I573"/>
    <mergeCell ref="A574:B574"/>
    <mergeCell ref="C574:I574"/>
    <mergeCell ref="A575:B575"/>
    <mergeCell ref="C575:I575"/>
    <mergeCell ref="A576:A577"/>
    <mergeCell ref="B576:B577"/>
    <mergeCell ref="C576:C577"/>
    <mergeCell ref="D576:D577"/>
    <mergeCell ref="E576:E577"/>
    <mergeCell ref="F576:I576"/>
    <mergeCell ref="A561:B561"/>
    <mergeCell ref="C561:I561"/>
    <mergeCell ref="A562:B562"/>
    <mergeCell ref="C562:I562"/>
    <mergeCell ref="A563:B563"/>
    <mergeCell ref="C563:I563"/>
    <mergeCell ref="A564:A565"/>
    <mergeCell ref="B564:B565"/>
    <mergeCell ref="C564:C565"/>
    <mergeCell ref="D564:D565"/>
    <mergeCell ref="E564:E565"/>
    <mergeCell ref="F564:I564"/>
    <mergeCell ref="A501:B501"/>
    <mergeCell ref="C501:I501"/>
    <mergeCell ref="A502:B502"/>
    <mergeCell ref="C502:I502"/>
    <mergeCell ref="A503:B503"/>
    <mergeCell ref="C503:I503"/>
    <mergeCell ref="A504:A505"/>
    <mergeCell ref="B504:B505"/>
    <mergeCell ref="C504:C505"/>
    <mergeCell ref="D504:D505"/>
    <mergeCell ref="E504:E505"/>
    <mergeCell ref="F504:I504"/>
    <mergeCell ref="A485:B485"/>
    <mergeCell ref="C485:I485"/>
    <mergeCell ref="A486:B486"/>
    <mergeCell ref="C486:I486"/>
    <mergeCell ref="A487:B487"/>
    <mergeCell ref="C487:I487"/>
    <mergeCell ref="A488:A489"/>
    <mergeCell ref="B488:B489"/>
    <mergeCell ref="C488:C489"/>
    <mergeCell ref="D488:D489"/>
    <mergeCell ref="E488:E489"/>
    <mergeCell ref="F488:I488"/>
    <mergeCell ref="A469:B469"/>
    <mergeCell ref="C469:I469"/>
    <mergeCell ref="A470:B470"/>
    <mergeCell ref="C470:I470"/>
    <mergeCell ref="A471:B471"/>
    <mergeCell ref="C471:I471"/>
    <mergeCell ref="A472:A473"/>
    <mergeCell ref="B472:B473"/>
    <mergeCell ref="C472:C473"/>
    <mergeCell ref="D472:D473"/>
    <mergeCell ref="E472:E473"/>
    <mergeCell ref="F472:I472"/>
    <mergeCell ref="A452:B452"/>
    <mergeCell ref="C452:I452"/>
    <mergeCell ref="A453:B453"/>
    <mergeCell ref="C453:I453"/>
    <mergeCell ref="A454:B454"/>
    <mergeCell ref="C454:I454"/>
    <mergeCell ref="A455:A456"/>
    <mergeCell ref="B455:B456"/>
    <mergeCell ref="C455:C456"/>
    <mergeCell ref="D455:D456"/>
    <mergeCell ref="E455:E456"/>
    <mergeCell ref="F455:I455"/>
    <mergeCell ref="A432:B432"/>
    <mergeCell ref="C432:I432"/>
    <mergeCell ref="A433:B433"/>
    <mergeCell ref="C433:I433"/>
    <mergeCell ref="A434:B434"/>
    <mergeCell ref="C434:I434"/>
    <mergeCell ref="A435:A436"/>
    <mergeCell ref="B435:B436"/>
    <mergeCell ref="C435:C436"/>
    <mergeCell ref="D435:D436"/>
    <mergeCell ref="E435:E436"/>
    <mergeCell ref="F435:I435"/>
    <mergeCell ref="A416:B416"/>
    <mergeCell ref="C416:I416"/>
    <mergeCell ref="A417:B417"/>
    <mergeCell ref="C417:I417"/>
    <mergeCell ref="A418:B418"/>
    <mergeCell ref="C418:I418"/>
    <mergeCell ref="A419:A420"/>
    <mergeCell ref="B419:B420"/>
    <mergeCell ref="C419:C420"/>
    <mergeCell ref="D419:D420"/>
    <mergeCell ref="E419:E420"/>
    <mergeCell ref="F419:I419"/>
    <mergeCell ref="A397:B397"/>
    <mergeCell ref="C397:I397"/>
    <mergeCell ref="A398:B398"/>
    <mergeCell ref="C398:I398"/>
    <mergeCell ref="A399:B399"/>
    <mergeCell ref="C399:I399"/>
    <mergeCell ref="A400:A401"/>
    <mergeCell ref="B400:B401"/>
    <mergeCell ref="C400:C401"/>
    <mergeCell ref="D400:D401"/>
    <mergeCell ref="E400:E401"/>
    <mergeCell ref="F400:I400"/>
    <mergeCell ref="A377:B377"/>
    <mergeCell ref="C377:I377"/>
    <mergeCell ref="A378:B378"/>
    <mergeCell ref="C378:I378"/>
    <mergeCell ref="A379:B379"/>
    <mergeCell ref="C379:I379"/>
    <mergeCell ref="A380:A381"/>
    <mergeCell ref="B380:B381"/>
    <mergeCell ref="C380:C381"/>
    <mergeCell ref="D380:D381"/>
    <mergeCell ref="E380:E381"/>
    <mergeCell ref="F380:I380"/>
    <mergeCell ref="A359:B359"/>
    <mergeCell ref="C359:I359"/>
    <mergeCell ref="A360:B360"/>
    <mergeCell ref="C360:I360"/>
    <mergeCell ref="A361:B361"/>
    <mergeCell ref="C361:I361"/>
    <mergeCell ref="A362:A363"/>
    <mergeCell ref="B362:B363"/>
    <mergeCell ref="C362:C363"/>
    <mergeCell ref="D362:D363"/>
    <mergeCell ref="E362:E363"/>
    <mergeCell ref="F362:I362"/>
    <mergeCell ref="A346:B346"/>
    <mergeCell ref="C346:I346"/>
    <mergeCell ref="A347:B347"/>
    <mergeCell ref="C347:I347"/>
    <mergeCell ref="A348:B348"/>
    <mergeCell ref="C348:I348"/>
    <mergeCell ref="A349:A350"/>
    <mergeCell ref="B349:B350"/>
    <mergeCell ref="C349:C350"/>
    <mergeCell ref="D349:D350"/>
    <mergeCell ref="E349:E350"/>
    <mergeCell ref="F349:I349"/>
    <mergeCell ref="A324:B324"/>
    <mergeCell ref="C324:I324"/>
    <mergeCell ref="A325:B325"/>
    <mergeCell ref="C325:I325"/>
    <mergeCell ref="A326:B326"/>
    <mergeCell ref="C326:I326"/>
    <mergeCell ref="A327:A328"/>
    <mergeCell ref="B327:B328"/>
    <mergeCell ref="C327:C328"/>
    <mergeCell ref="D327:D328"/>
    <mergeCell ref="E327:E328"/>
    <mergeCell ref="F327:I327"/>
    <mergeCell ref="A311:B311"/>
    <mergeCell ref="C311:I311"/>
    <mergeCell ref="A312:B312"/>
    <mergeCell ref="C312:I312"/>
    <mergeCell ref="A313:B313"/>
    <mergeCell ref="C313:I313"/>
    <mergeCell ref="A314:A315"/>
    <mergeCell ref="B314:B315"/>
    <mergeCell ref="C314:C315"/>
    <mergeCell ref="D314:D315"/>
    <mergeCell ref="E314:E315"/>
    <mergeCell ref="F314:I314"/>
    <mergeCell ref="A299:B299"/>
    <mergeCell ref="C299:I299"/>
    <mergeCell ref="A300:B300"/>
    <mergeCell ref="C300:I300"/>
    <mergeCell ref="A301:B301"/>
    <mergeCell ref="C301:I301"/>
    <mergeCell ref="A302:A303"/>
    <mergeCell ref="B302:B303"/>
    <mergeCell ref="C302:C303"/>
    <mergeCell ref="D302:D303"/>
    <mergeCell ref="E302:E303"/>
    <mergeCell ref="F302:I302"/>
    <mergeCell ref="A286:B286"/>
    <mergeCell ref="C286:I286"/>
    <mergeCell ref="A287:B287"/>
    <mergeCell ref="C287:I287"/>
    <mergeCell ref="A288:B288"/>
    <mergeCell ref="C288:I288"/>
    <mergeCell ref="A289:A290"/>
    <mergeCell ref="B289:B290"/>
    <mergeCell ref="C289:C290"/>
    <mergeCell ref="D289:D290"/>
    <mergeCell ref="E289:E290"/>
    <mergeCell ref="F289:I289"/>
    <mergeCell ref="A271:B271"/>
    <mergeCell ref="C271:I271"/>
    <mergeCell ref="A272:B272"/>
    <mergeCell ref="C272:I272"/>
    <mergeCell ref="A273:B273"/>
    <mergeCell ref="C273:I273"/>
    <mergeCell ref="A274:A275"/>
    <mergeCell ref="B274:B275"/>
    <mergeCell ref="C274:C275"/>
    <mergeCell ref="D274:D275"/>
    <mergeCell ref="E274:E275"/>
    <mergeCell ref="F274:I274"/>
    <mergeCell ref="A257:B257"/>
    <mergeCell ref="C257:I257"/>
    <mergeCell ref="A258:B258"/>
    <mergeCell ref="C258:I258"/>
    <mergeCell ref="A259:B259"/>
    <mergeCell ref="C259:I259"/>
    <mergeCell ref="A260:A261"/>
    <mergeCell ref="B260:B261"/>
    <mergeCell ref="C260:C261"/>
    <mergeCell ref="D260:D261"/>
    <mergeCell ref="E260:E261"/>
    <mergeCell ref="F260:I260"/>
    <mergeCell ref="A242:B242"/>
    <mergeCell ref="C242:I242"/>
    <mergeCell ref="A243:B243"/>
    <mergeCell ref="C243:I243"/>
    <mergeCell ref="A244:B244"/>
    <mergeCell ref="C244:I244"/>
    <mergeCell ref="A245:A246"/>
    <mergeCell ref="B245:B246"/>
    <mergeCell ref="C245:C246"/>
    <mergeCell ref="D245:D246"/>
    <mergeCell ref="E245:E246"/>
    <mergeCell ref="F245:I245"/>
    <mergeCell ref="A213:B213"/>
    <mergeCell ref="C213:I213"/>
    <mergeCell ref="A214:B214"/>
    <mergeCell ref="C214:I214"/>
    <mergeCell ref="A215:B215"/>
    <mergeCell ref="C215:I215"/>
    <mergeCell ref="A216:A217"/>
    <mergeCell ref="B216:B217"/>
    <mergeCell ref="C216:C217"/>
    <mergeCell ref="D216:D217"/>
    <mergeCell ref="E216:E217"/>
    <mergeCell ref="F216:I216"/>
    <mergeCell ref="A200:B200"/>
    <mergeCell ref="C200:I200"/>
    <mergeCell ref="A201:B201"/>
    <mergeCell ref="C201:I201"/>
    <mergeCell ref="A202:B202"/>
    <mergeCell ref="C202:I202"/>
    <mergeCell ref="A203:A204"/>
    <mergeCell ref="B203:B204"/>
    <mergeCell ref="C203:C204"/>
    <mergeCell ref="D203:D204"/>
    <mergeCell ref="E203:E204"/>
    <mergeCell ref="F203:I203"/>
    <mergeCell ref="A185:B185"/>
    <mergeCell ref="C185:I185"/>
    <mergeCell ref="A186:B186"/>
    <mergeCell ref="C186:I186"/>
    <mergeCell ref="A187:B187"/>
    <mergeCell ref="C187:I187"/>
    <mergeCell ref="A188:A189"/>
    <mergeCell ref="B188:B189"/>
    <mergeCell ref="C188:C189"/>
    <mergeCell ref="D188:D189"/>
    <mergeCell ref="E188:E189"/>
    <mergeCell ref="F188:I188"/>
    <mergeCell ref="A113:B113"/>
    <mergeCell ref="C113:I113"/>
    <mergeCell ref="A114:B114"/>
    <mergeCell ref="C114:I114"/>
    <mergeCell ref="A115:B115"/>
    <mergeCell ref="C115:I115"/>
    <mergeCell ref="A116:A117"/>
    <mergeCell ref="B116:B117"/>
    <mergeCell ref="C116:C117"/>
    <mergeCell ref="D116:D117"/>
    <mergeCell ref="E116:E117"/>
    <mergeCell ref="F116:I116"/>
    <mergeCell ref="A68:B68"/>
    <mergeCell ref="C68:I68"/>
    <mergeCell ref="A69:B69"/>
    <mergeCell ref="C69:I69"/>
    <mergeCell ref="A70:B70"/>
    <mergeCell ref="C70:I70"/>
    <mergeCell ref="A71:A72"/>
    <mergeCell ref="B71:B72"/>
    <mergeCell ref="C71:C72"/>
    <mergeCell ref="D71:D72"/>
    <mergeCell ref="E71:E72"/>
    <mergeCell ref="F71:I71"/>
    <mergeCell ref="A24:B24"/>
    <mergeCell ref="C24:I24"/>
    <mergeCell ref="A25:B25"/>
    <mergeCell ref="C25:I25"/>
    <mergeCell ref="A26:B26"/>
    <mergeCell ref="C26:I26"/>
    <mergeCell ref="A27:A28"/>
    <mergeCell ref="B27:B28"/>
    <mergeCell ref="C27:C28"/>
    <mergeCell ref="D27:D28"/>
    <mergeCell ref="E27:E28"/>
    <mergeCell ref="F27:I27"/>
    <mergeCell ref="A9:B9"/>
    <mergeCell ref="C9:I9"/>
    <mergeCell ref="A10:B10"/>
    <mergeCell ref="C10:I10"/>
    <mergeCell ref="A11:B11"/>
    <mergeCell ref="C11:I11"/>
    <mergeCell ref="A12:A13"/>
    <mergeCell ref="B12:B13"/>
    <mergeCell ref="C12:C13"/>
    <mergeCell ref="D12:D13"/>
    <mergeCell ref="E12:E13"/>
    <mergeCell ref="F12:I12"/>
    <mergeCell ref="A845:B845"/>
    <mergeCell ref="C845:I845"/>
    <mergeCell ref="A846:A847"/>
    <mergeCell ref="B846:B847"/>
    <mergeCell ref="C846:C847"/>
    <mergeCell ref="D846:D847"/>
    <mergeCell ref="E846:E847"/>
    <mergeCell ref="F846:I846"/>
    <mergeCell ref="A843:B843"/>
    <mergeCell ref="C843:I843"/>
    <mergeCell ref="A844:B844"/>
    <mergeCell ref="C844:I844"/>
    <mergeCell ref="A960:B960"/>
    <mergeCell ref="C960:I960"/>
    <mergeCell ref="D810:D811"/>
    <mergeCell ref="E810:E811"/>
    <mergeCell ref="F810:I810"/>
    <mergeCell ref="A808:B808"/>
    <mergeCell ref="C808:I808"/>
    <mergeCell ref="A777:B777"/>
    <mergeCell ref="C777:I777"/>
    <mergeCell ref="A778:B778"/>
    <mergeCell ref="C778:I778"/>
    <mergeCell ref="A779:B779"/>
    <mergeCell ref="C779:I779"/>
    <mergeCell ref="A780:A781"/>
    <mergeCell ref="B780:B781"/>
    <mergeCell ref="C780:C781"/>
    <mergeCell ref="D780:D781"/>
    <mergeCell ref="F780:I780"/>
    <mergeCell ref="A809:B809"/>
    <mergeCell ref="C809:I809"/>
    <mergeCell ref="A810:A811"/>
    <mergeCell ref="B810:B811"/>
    <mergeCell ref="C810:C811"/>
    <mergeCell ref="E780:E781"/>
    <mergeCell ref="A722:B722"/>
    <mergeCell ref="C722:I722"/>
    <mergeCell ref="A723:B723"/>
    <mergeCell ref="C723:I723"/>
    <mergeCell ref="A724:B724"/>
    <mergeCell ref="C724:I724"/>
    <mergeCell ref="F725:I725"/>
    <mergeCell ref="A807:B807"/>
    <mergeCell ref="C807:I807"/>
    <mergeCell ref="A725:A726"/>
    <mergeCell ref="B725:B726"/>
    <mergeCell ref="C725:C726"/>
    <mergeCell ref="D725:D726"/>
    <mergeCell ref="E725:E726"/>
    <mergeCell ref="A764:B764"/>
    <mergeCell ref="C764:I764"/>
    <mergeCell ref="A765:B765"/>
    <mergeCell ref="C765:I765"/>
    <mergeCell ref="A766:B766"/>
    <mergeCell ref="C766:I766"/>
    <mergeCell ref="A767:A768"/>
    <mergeCell ref="B767:B768"/>
    <mergeCell ref="C767:C768"/>
    <mergeCell ref="D767:D768"/>
    <mergeCell ref="E767:E768"/>
    <mergeCell ref="F767:I767"/>
    <mergeCell ref="A970:B970"/>
    <mergeCell ref="C970:I970"/>
    <mergeCell ref="A971:B971"/>
    <mergeCell ref="C971:I971"/>
    <mergeCell ref="A972:B972"/>
    <mergeCell ref="C972:I972"/>
    <mergeCell ref="A973:A974"/>
    <mergeCell ref="B973:B974"/>
    <mergeCell ref="C973:C974"/>
    <mergeCell ref="D973:D974"/>
    <mergeCell ref="E973:E974"/>
    <mergeCell ref="F973:I973"/>
    <mergeCell ref="F961:I961"/>
    <mergeCell ref="A961:A962"/>
    <mergeCell ref="B961:B962"/>
    <mergeCell ref="C961:C962"/>
    <mergeCell ref="D961:D962"/>
    <mergeCell ref="E961:E962"/>
    <mergeCell ref="A958:B958"/>
    <mergeCell ref="C958:I958"/>
    <mergeCell ref="A959:B959"/>
    <mergeCell ref="C959:I959"/>
    <mergeCell ref="A915:B915"/>
    <mergeCell ref="C915:I915"/>
    <mergeCell ref="A916:B916"/>
    <mergeCell ref="C916:I916"/>
    <mergeCell ref="A917:B917"/>
    <mergeCell ref="C917:I917"/>
    <mergeCell ref="A918:A919"/>
    <mergeCell ref="B918:B919"/>
    <mergeCell ref="C918:C919"/>
    <mergeCell ref="D918:D919"/>
    <mergeCell ref="E918:E919"/>
    <mergeCell ref="F918:I918"/>
    <mergeCell ref="A890:B890"/>
    <mergeCell ref="C890:I890"/>
    <mergeCell ref="A891:B891"/>
    <mergeCell ref="C891:I891"/>
    <mergeCell ref="A892:B892"/>
    <mergeCell ref="C892:I892"/>
    <mergeCell ref="A893:A894"/>
    <mergeCell ref="B893:B894"/>
    <mergeCell ref="C893:C894"/>
    <mergeCell ref="D893:D894"/>
    <mergeCell ref="E893:E894"/>
    <mergeCell ref="F893:I893"/>
    <mergeCell ref="A943:B943"/>
    <mergeCell ref="C943:I943"/>
    <mergeCell ref="A944:B944"/>
    <mergeCell ref="C944:I944"/>
    <mergeCell ref="A945:B945"/>
    <mergeCell ref="C945:I945"/>
    <mergeCell ref="A946:A947"/>
    <mergeCell ref="B946:B947"/>
    <mergeCell ref="C946:C947"/>
    <mergeCell ref="D946:D947"/>
    <mergeCell ref="E946:E947"/>
    <mergeCell ref="F946:I946"/>
    <mergeCell ref="A99:B99"/>
    <mergeCell ref="C99:I99"/>
    <mergeCell ref="A100:B100"/>
    <mergeCell ref="C100:I100"/>
    <mergeCell ref="A101:B101"/>
    <mergeCell ref="C101:I101"/>
    <mergeCell ref="A102:A103"/>
    <mergeCell ref="B102:B103"/>
    <mergeCell ref="C102:C103"/>
    <mergeCell ref="D102:D103"/>
    <mergeCell ref="E102:E103"/>
    <mergeCell ref="F102:I102"/>
    <mergeCell ref="A173:B173"/>
    <mergeCell ref="C173:I173"/>
    <mergeCell ref="A174:B174"/>
    <mergeCell ref="C174:I174"/>
    <mergeCell ref="A175:B175"/>
    <mergeCell ref="C175:I175"/>
    <mergeCell ref="A176:A177"/>
    <mergeCell ref="B176:B177"/>
    <mergeCell ref="C176:C177"/>
    <mergeCell ref="D176:D177"/>
    <mergeCell ref="E176:E177"/>
    <mergeCell ref="F176:I176"/>
    <mergeCell ref="A630:B630"/>
    <mergeCell ref="C630:I630"/>
    <mergeCell ref="A631:B631"/>
    <mergeCell ref="C631:I631"/>
    <mergeCell ref="A632:B632"/>
    <mergeCell ref="C632:I632"/>
    <mergeCell ref="A633:A634"/>
    <mergeCell ref="B633:B634"/>
    <mergeCell ref="C633:C634"/>
    <mergeCell ref="D633:D634"/>
    <mergeCell ref="E633:E634"/>
    <mergeCell ref="F633:I633"/>
    <mergeCell ref="A645:B645"/>
    <mergeCell ref="C645:I645"/>
    <mergeCell ref="A646:B646"/>
    <mergeCell ref="C646:I646"/>
    <mergeCell ref="A647:B647"/>
    <mergeCell ref="C647:I647"/>
    <mergeCell ref="A648:A649"/>
    <mergeCell ref="B648:B649"/>
    <mergeCell ref="C648:C649"/>
    <mergeCell ref="D648:D649"/>
    <mergeCell ref="E648:E649"/>
    <mergeCell ref="F648:I648"/>
    <mergeCell ref="A677:B677"/>
    <mergeCell ref="C677:I677"/>
    <mergeCell ref="A678:B678"/>
    <mergeCell ref="C678:I678"/>
    <mergeCell ref="A679:B679"/>
    <mergeCell ref="C679:I679"/>
    <mergeCell ref="A680:A681"/>
    <mergeCell ref="B680:B681"/>
    <mergeCell ref="C680:C681"/>
    <mergeCell ref="D680:D681"/>
    <mergeCell ref="E680:E681"/>
    <mergeCell ref="F680:I680"/>
    <mergeCell ref="A930:B930"/>
    <mergeCell ref="C930:I930"/>
    <mergeCell ref="A931:B931"/>
    <mergeCell ref="C931:I931"/>
    <mergeCell ref="A932:B932"/>
    <mergeCell ref="C932:I932"/>
    <mergeCell ref="A933:A934"/>
    <mergeCell ref="B933:B934"/>
    <mergeCell ref="C933:C934"/>
    <mergeCell ref="D933:D934"/>
    <mergeCell ref="E933:E934"/>
    <mergeCell ref="F933:I933"/>
    <mergeCell ref="A992:B992"/>
    <mergeCell ref="C992:I992"/>
    <mergeCell ref="A993:B993"/>
    <mergeCell ref="C993:I993"/>
    <mergeCell ref="A994:B994"/>
    <mergeCell ref="C994:I994"/>
    <mergeCell ref="A995:A996"/>
    <mergeCell ref="B995:B996"/>
    <mergeCell ref="C995:C996"/>
    <mergeCell ref="D995:D996"/>
    <mergeCell ref="E995:E996"/>
    <mergeCell ref="F995:I995"/>
    <mergeCell ref="A689:B689"/>
    <mergeCell ref="C689:I689"/>
    <mergeCell ref="A690:B690"/>
    <mergeCell ref="C690:I690"/>
    <mergeCell ref="A691:B691"/>
    <mergeCell ref="C691:I691"/>
    <mergeCell ref="A692:A693"/>
    <mergeCell ref="B692:B693"/>
    <mergeCell ref="C692:C693"/>
    <mergeCell ref="D692:D693"/>
    <mergeCell ref="E692:E693"/>
    <mergeCell ref="F692:I692"/>
    <mergeCell ref="A753:B753"/>
    <mergeCell ref="C753:I753"/>
    <mergeCell ref="A754:B754"/>
    <mergeCell ref="C754:I754"/>
    <mergeCell ref="A755:B755"/>
    <mergeCell ref="C755:I755"/>
    <mergeCell ref="A756:A757"/>
    <mergeCell ref="B756:B757"/>
    <mergeCell ref="C756:C757"/>
    <mergeCell ref="D756:D757"/>
    <mergeCell ref="E756:E757"/>
    <mergeCell ref="F756:I756"/>
  </mergeCells>
  <printOptions horizontalCentered="1"/>
  <pageMargins left="0.39370078740157483" right="0.31496062992125984" top="0.74803149606299213" bottom="0.74803149606299213" header="0.31496062992125984" footer="0.31496062992125984"/>
  <pageSetup scale="73" fitToHeight="0" orientation="portrait" r:id="rId1"/>
  <rowBreaks count="16" manualBreakCount="16">
    <brk id="52" max="8" man="1"/>
    <brk id="97" max="8" man="1"/>
    <brk id="184" max="8" man="1"/>
    <brk id="227" max="8" man="1"/>
    <brk id="256" max="16383" man="1"/>
    <brk id="298" max="16383" man="1"/>
    <brk id="376" max="8" man="1"/>
    <brk id="415" max="8" man="1"/>
    <brk id="458" max="8" man="1"/>
    <brk id="504" max="8" man="1"/>
    <brk id="545" max="8" man="1"/>
    <brk id="587" max="8" man="1"/>
    <brk id="629" max="8" man="1"/>
    <brk id="668" max="8" man="1"/>
    <brk id="756" max="8" man="1"/>
    <brk id="847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G32" sqref="G32"/>
    </sheetView>
  </sheetViews>
  <sheetFormatPr baseColWidth="10" defaultRowHeight="14.4" x14ac:dyDescent="0.3"/>
  <sheetData>
    <row r="1" spans="1:17" ht="15" x14ac:dyDescent="0.3">
      <c r="A1" s="1132" t="s">
        <v>515</v>
      </c>
      <c r="B1" s="1132"/>
      <c r="C1" s="111">
        <v>781242</v>
      </c>
      <c r="D1" s="111">
        <f>+C1*2</f>
        <v>1562484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5.6" x14ac:dyDescent="0.3">
      <c r="A2" s="1132" t="s">
        <v>516</v>
      </c>
      <c r="B2" s="1132"/>
      <c r="C2" s="111">
        <v>88211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6.2" thickBot="1" x14ac:dyDescent="0.3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5.6" thickBot="1" x14ac:dyDescent="0.35">
      <c r="A4" s="1133" t="s">
        <v>517</v>
      </c>
      <c r="B4" s="1133"/>
      <c r="C4" s="1134" t="s">
        <v>518</v>
      </c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6"/>
    </row>
    <row r="5" spans="1:17" ht="53.4" thickBot="1" x14ac:dyDescent="0.35">
      <c r="A5" s="1133"/>
      <c r="B5" s="1133"/>
      <c r="C5" s="114" t="s">
        <v>519</v>
      </c>
      <c r="D5" s="115" t="s">
        <v>520</v>
      </c>
      <c r="E5" s="115" t="s">
        <v>521</v>
      </c>
      <c r="F5" s="115" t="s">
        <v>522</v>
      </c>
      <c r="G5" s="115" t="s">
        <v>523</v>
      </c>
      <c r="H5" s="115" t="s">
        <v>524</v>
      </c>
      <c r="I5" s="115" t="s">
        <v>525</v>
      </c>
      <c r="J5" s="115" t="s">
        <v>526</v>
      </c>
      <c r="K5" s="115" t="s">
        <v>527</v>
      </c>
      <c r="L5" s="115" t="s">
        <v>528</v>
      </c>
      <c r="M5" s="115" t="s">
        <v>529</v>
      </c>
      <c r="N5" s="115" t="s">
        <v>530</v>
      </c>
      <c r="O5" s="115" t="s">
        <v>531</v>
      </c>
      <c r="P5" s="115" t="s">
        <v>532</v>
      </c>
      <c r="Q5" s="115" t="s">
        <v>533</v>
      </c>
    </row>
    <row r="6" spans="1:17" ht="15" x14ac:dyDescent="0.3">
      <c r="A6" s="1124" t="s">
        <v>534</v>
      </c>
      <c r="B6" s="1125"/>
      <c r="C6" s="116" t="s">
        <v>535</v>
      </c>
      <c r="D6" s="117">
        <f>+C1</f>
        <v>781242</v>
      </c>
      <c r="E6" s="118">
        <f>C1*1.8</f>
        <v>1406235.6</v>
      </c>
      <c r="F6" s="118">
        <f>C1*2.5</f>
        <v>1953105</v>
      </c>
      <c r="G6" s="119">
        <f>C1*1.4</f>
        <v>1093738.8</v>
      </c>
      <c r="H6" s="119">
        <f>+$C$1*1.28</f>
        <v>999989.76000000001</v>
      </c>
      <c r="I6" s="119">
        <f>+$C$1*1.57</f>
        <v>1226549.94</v>
      </c>
      <c r="J6" s="119">
        <f>+$C$1*1.52</f>
        <v>1187487.8400000001</v>
      </c>
      <c r="K6" s="119">
        <f>+$C$1*2.58</f>
        <v>2015604.36</v>
      </c>
      <c r="L6" s="119">
        <f>+$C$1*2.62</f>
        <v>2046854.04</v>
      </c>
      <c r="M6" s="119">
        <f>+$C$1*3.718</f>
        <v>2904657.7560000001</v>
      </c>
      <c r="N6" s="119">
        <f>+$C$1*3.846</f>
        <v>3004656.7319999998</v>
      </c>
      <c r="O6" s="119">
        <f>+$C$1*4.77</f>
        <v>3726524.34</v>
      </c>
      <c r="P6" s="119">
        <f>+$C$1*4.97</f>
        <v>3882772.7399999998</v>
      </c>
      <c r="Q6" s="119">
        <f>+$C$1*5.73</f>
        <v>4476516.66</v>
      </c>
    </row>
    <row r="7" spans="1:17" ht="15" x14ac:dyDescent="0.3">
      <c r="A7" s="1124"/>
      <c r="B7" s="1125"/>
      <c r="C7" s="120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5" x14ac:dyDescent="0.3">
      <c r="A8" s="1124"/>
      <c r="B8" s="1125"/>
      <c r="C8" s="120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5" x14ac:dyDescent="0.3">
      <c r="A9" s="1120" t="s">
        <v>536</v>
      </c>
      <c r="B9" s="1121"/>
      <c r="C9" s="120">
        <v>0.12</v>
      </c>
      <c r="D9" s="119">
        <f t="shared" ref="D9:D11" si="0">$D$6*C9</f>
        <v>93749.04</v>
      </c>
      <c r="E9" s="119">
        <f t="shared" ref="E9:E12" si="1">$E$6*C9</f>
        <v>168748.272</v>
      </c>
      <c r="F9" s="119">
        <f t="shared" ref="F9:F12" si="2">$F$6*C9</f>
        <v>234372.6</v>
      </c>
      <c r="G9" s="119">
        <f t="shared" ref="G9:G12" si="3">+$G$6*C9</f>
        <v>131248.65599999999</v>
      </c>
      <c r="H9" s="119">
        <f>+H6*$C$9</f>
        <v>119998.7712</v>
      </c>
      <c r="I9" s="119">
        <f t="shared" ref="I9:Q9" si="4">+I6*$C$9</f>
        <v>147185.99279999998</v>
      </c>
      <c r="J9" s="119">
        <f t="shared" si="4"/>
        <v>142498.54080000002</v>
      </c>
      <c r="K9" s="119">
        <f t="shared" si="4"/>
        <v>241872.5232</v>
      </c>
      <c r="L9" s="119">
        <f t="shared" si="4"/>
        <v>245622.48480000001</v>
      </c>
      <c r="M9" s="119">
        <f t="shared" si="4"/>
        <v>348558.93072</v>
      </c>
      <c r="N9" s="119">
        <f t="shared" si="4"/>
        <v>360558.80783999996</v>
      </c>
      <c r="O9" s="119">
        <f t="shared" si="4"/>
        <v>447182.92079999996</v>
      </c>
      <c r="P9" s="119">
        <f t="shared" si="4"/>
        <v>465932.72879999998</v>
      </c>
      <c r="Q9" s="119">
        <f t="shared" si="4"/>
        <v>537181.99919999996</v>
      </c>
    </row>
    <row r="10" spans="1:17" ht="15" x14ac:dyDescent="0.3">
      <c r="A10" s="1120" t="s">
        <v>537</v>
      </c>
      <c r="B10" s="1121"/>
      <c r="C10" s="120">
        <v>8.5000000000000006E-2</v>
      </c>
      <c r="D10" s="119">
        <f>$D$6*C10</f>
        <v>66405.570000000007</v>
      </c>
      <c r="E10" s="119">
        <f t="shared" si="1"/>
        <v>119530.02600000001</v>
      </c>
      <c r="F10" s="119">
        <f t="shared" si="2"/>
        <v>166013.92500000002</v>
      </c>
      <c r="G10" s="119">
        <f t="shared" si="3"/>
        <v>92967.79800000001</v>
      </c>
      <c r="H10" s="119">
        <f>+H6*$C$10</f>
        <v>84999.1296</v>
      </c>
      <c r="I10" s="119">
        <f t="shared" ref="I10:Q10" si="5">+I6*$C$10</f>
        <v>104256.74490000001</v>
      </c>
      <c r="J10" s="119">
        <f t="shared" si="5"/>
        <v>100936.46640000002</v>
      </c>
      <c r="K10" s="119">
        <f t="shared" si="5"/>
        <v>171326.37060000002</v>
      </c>
      <c r="L10" s="119">
        <f t="shared" si="5"/>
        <v>173982.59340000001</v>
      </c>
      <c r="M10" s="119">
        <f t="shared" si="5"/>
        <v>246895.90926000001</v>
      </c>
      <c r="N10" s="119">
        <f t="shared" si="5"/>
        <v>255395.82222</v>
      </c>
      <c r="O10" s="119">
        <f t="shared" si="5"/>
        <v>316754.56890000001</v>
      </c>
      <c r="P10" s="119">
        <f t="shared" si="5"/>
        <v>330035.68290000001</v>
      </c>
      <c r="Q10" s="119">
        <f t="shared" si="5"/>
        <v>380503.91610000003</v>
      </c>
    </row>
    <row r="11" spans="1:17" ht="15" x14ac:dyDescent="0.3">
      <c r="A11" s="1120" t="s">
        <v>538</v>
      </c>
      <c r="B11" s="1121"/>
      <c r="C11" s="120">
        <v>6.9599999999999995E-2</v>
      </c>
      <c r="D11" s="119">
        <f t="shared" si="0"/>
        <v>54374.443199999994</v>
      </c>
      <c r="E11" s="119">
        <f t="shared" si="1"/>
        <v>97873.997759999998</v>
      </c>
      <c r="F11" s="119">
        <f t="shared" si="2"/>
        <v>135936.10799999998</v>
      </c>
      <c r="G11" s="119">
        <f t="shared" si="3"/>
        <v>76124.220480000004</v>
      </c>
      <c r="H11" s="119">
        <f>+H6*$C$11</f>
        <v>69599.287295999995</v>
      </c>
      <c r="I11" s="119">
        <f t="shared" ref="I11:Q11" si="6">+I6*$C$11</f>
        <v>85367.875823999988</v>
      </c>
      <c r="J11" s="119">
        <f t="shared" si="6"/>
        <v>82649.153663999998</v>
      </c>
      <c r="K11" s="119">
        <f t="shared" si="6"/>
        <v>140286.063456</v>
      </c>
      <c r="L11" s="119">
        <f t="shared" si="6"/>
        <v>142461.041184</v>
      </c>
      <c r="M11" s="119">
        <f t="shared" si="6"/>
        <v>202164.1798176</v>
      </c>
      <c r="N11" s="119">
        <f t="shared" si="6"/>
        <v>209124.10854719998</v>
      </c>
      <c r="O11" s="119">
        <f t="shared" si="6"/>
        <v>259366.09406399998</v>
      </c>
      <c r="P11" s="119">
        <f t="shared" si="6"/>
        <v>270240.98270399997</v>
      </c>
      <c r="Q11" s="119">
        <f t="shared" si="6"/>
        <v>311565.55953600002</v>
      </c>
    </row>
    <row r="12" spans="1:17" ht="15" x14ac:dyDescent="0.3">
      <c r="A12" s="1120" t="s">
        <v>539</v>
      </c>
      <c r="B12" s="1121"/>
      <c r="C12" s="121">
        <v>0.04</v>
      </c>
      <c r="D12" s="119">
        <f>$D$6*C12</f>
        <v>31249.68</v>
      </c>
      <c r="E12" s="119">
        <f t="shared" si="1"/>
        <v>56249.424000000006</v>
      </c>
      <c r="F12" s="119">
        <f t="shared" si="2"/>
        <v>78124.2</v>
      </c>
      <c r="G12" s="119">
        <f t="shared" si="3"/>
        <v>43749.552000000003</v>
      </c>
      <c r="H12" s="119">
        <f>+H6*$C$12</f>
        <v>39999.590400000001</v>
      </c>
      <c r="I12" s="119">
        <f t="shared" ref="I12:Q12" si="7">+I6*$C$12</f>
        <v>49061.997600000002</v>
      </c>
      <c r="J12" s="119">
        <f t="shared" si="7"/>
        <v>47499.513600000006</v>
      </c>
      <c r="K12" s="119">
        <f t="shared" si="7"/>
        <v>80624.174400000004</v>
      </c>
      <c r="L12" s="119">
        <f t="shared" si="7"/>
        <v>81874.161600000007</v>
      </c>
      <c r="M12" s="119">
        <f t="shared" si="7"/>
        <v>116186.31024000001</v>
      </c>
      <c r="N12" s="119">
        <f t="shared" si="7"/>
        <v>120186.26927999999</v>
      </c>
      <c r="O12" s="119">
        <f t="shared" si="7"/>
        <v>149060.9736</v>
      </c>
      <c r="P12" s="119">
        <f t="shared" si="7"/>
        <v>155310.90959999998</v>
      </c>
      <c r="Q12" s="119">
        <f t="shared" si="7"/>
        <v>179060.66640000002</v>
      </c>
    </row>
    <row r="13" spans="1:17" ht="15" x14ac:dyDescent="0.3">
      <c r="A13" s="1120" t="s">
        <v>540</v>
      </c>
      <c r="B13" s="1121"/>
      <c r="C13" s="116" t="s">
        <v>535</v>
      </c>
      <c r="D13" s="119">
        <f>(D6)*(1/360)*15</f>
        <v>32551.75</v>
      </c>
      <c r="E13" s="119">
        <f>(E6)*(1/360)*15</f>
        <v>58593.150000000009</v>
      </c>
      <c r="F13" s="119">
        <f t="shared" ref="F13:G13" si="8">(F6)*(1/360)*15</f>
        <v>81379.375</v>
      </c>
      <c r="G13" s="119">
        <f t="shared" si="8"/>
        <v>45572.450000000004</v>
      </c>
      <c r="H13" s="119">
        <f>(H6)*(1/360)*15</f>
        <v>41666.240000000005</v>
      </c>
      <c r="I13" s="119">
        <f t="shared" ref="I13:Q13" si="9">(I6)*(1/360)*15</f>
        <v>51106.247500000005</v>
      </c>
      <c r="J13" s="119">
        <f t="shared" si="9"/>
        <v>49478.66</v>
      </c>
      <c r="K13" s="119">
        <f t="shared" si="9"/>
        <v>83983.515000000014</v>
      </c>
      <c r="L13" s="119">
        <f t="shared" si="9"/>
        <v>85285.585000000006</v>
      </c>
      <c r="M13" s="119">
        <f t="shared" si="9"/>
        <v>121027.40650000001</v>
      </c>
      <c r="N13" s="119">
        <f t="shared" si="9"/>
        <v>125194.03050000001</v>
      </c>
      <c r="O13" s="119">
        <f t="shared" si="9"/>
        <v>155271.8475</v>
      </c>
      <c r="P13" s="119">
        <f t="shared" si="9"/>
        <v>161782.19749999998</v>
      </c>
      <c r="Q13" s="119">
        <f t="shared" si="9"/>
        <v>186521.5275</v>
      </c>
    </row>
    <row r="14" spans="1:17" ht="15" x14ac:dyDescent="0.3">
      <c r="A14" s="1120" t="s">
        <v>541</v>
      </c>
      <c r="B14" s="1121"/>
      <c r="C14" s="116" t="s">
        <v>535</v>
      </c>
      <c r="D14" s="119">
        <f>(D6)*(1*30/360)</f>
        <v>65103.5</v>
      </c>
      <c r="E14" s="119">
        <f>(E6)*(1*30/360)</f>
        <v>117186.3</v>
      </c>
      <c r="F14" s="119">
        <f t="shared" ref="F14:Q14" si="10">(F6)*(1*30/360)</f>
        <v>162758.75</v>
      </c>
      <c r="G14" s="119">
        <f t="shared" si="10"/>
        <v>91144.9</v>
      </c>
      <c r="H14" s="119">
        <f t="shared" si="10"/>
        <v>83332.479999999996</v>
      </c>
      <c r="I14" s="119">
        <f t="shared" si="10"/>
        <v>102212.495</v>
      </c>
      <c r="J14" s="119">
        <f t="shared" si="10"/>
        <v>98957.32</v>
      </c>
      <c r="K14" s="119">
        <f t="shared" si="10"/>
        <v>167967.03</v>
      </c>
      <c r="L14" s="119">
        <f t="shared" si="10"/>
        <v>170571.16999999998</v>
      </c>
      <c r="M14" s="119">
        <f t="shared" si="10"/>
        <v>242054.81299999999</v>
      </c>
      <c r="N14" s="119">
        <f t="shared" si="10"/>
        <v>250388.06099999999</v>
      </c>
      <c r="O14" s="119">
        <f t="shared" si="10"/>
        <v>310543.69499999995</v>
      </c>
      <c r="P14" s="119">
        <f t="shared" si="10"/>
        <v>323564.39499999996</v>
      </c>
      <c r="Q14" s="119">
        <f t="shared" si="10"/>
        <v>373043.05499999999</v>
      </c>
    </row>
    <row r="15" spans="1:17" ht="15" x14ac:dyDescent="0.3">
      <c r="A15" s="1120" t="s">
        <v>542</v>
      </c>
      <c r="B15" s="1121"/>
      <c r="C15" s="116" t="s">
        <v>535</v>
      </c>
      <c r="D15" s="119">
        <f>(D6)*(1*30/360)</f>
        <v>65103.5</v>
      </c>
      <c r="E15" s="119">
        <f>(E6)*(1*30/360)</f>
        <v>117186.3</v>
      </c>
      <c r="F15" s="119">
        <f t="shared" ref="F15" si="11">(F6)*(1*30/360)</f>
        <v>162758.75</v>
      </c>
      <c r="G15" s="119">
        <f>(G6)*(1*30/360)</f>
        <v>91144.9</v>
      </c>
      <c r="H15" s="119">
        <f>(H6)*(1*30/360)</f>
        <v>83332.479999999996</v>
      </c>
      <c r="I15" s="119">
        <f t="shared" ref="I15:Q15" si="12">(I6)*(1*30/360)</f>
        <v>102212.495</v>
      </c>
      <c r="J15" s="119">
        <f t="shared" si="12"/>
        <v>98957.32</v>
      </c>
      <c r="K15" s="119">
        <f t="shared" si="12"/>
        <v>167967.03</v>
      </c>
      <c r="L15" s="119">
        <f t="shared" si="12"/>
        <v>170571.16999999998</v>
      </c>
      <c r="M15" s="119">
        <f t="shared" si="12"/>
        <v>242054.81299999999</v>
      </c>
      <c r="N15" s="119">
        <f t="shared" si="12"/>
        <v>250388.06099999999</v>
      </c>
      <c r="O15" s="119">
        <f t="shared" si="12"/>
        <v>310543.69499999995</v>
      </c>
      <c r="P15" s="119">
        <f t="shared" si="12"/>
        <v>323564.39499999996</v>
      </c>
      <c r="Q15" s="119">
        <f t="shared" si="12"/>
        <v>373043.05499999999</v>
      </c>
    </row>
    <row r="16" spans="1:17" ht="15" x14ac:dyDescent="0.3">
      <c r="A16" s="1120" t="s">
        <v>543</v>
      </c>
      <c r="B16" s="1121"/>
      <c r="C16" s="120">
        <v>0.01</v>
      </c>
      <c r="D16" s="119">
        <f>D6*C16</f>
        <v>7812.42</v>
      </c>
      <c r="E16" s="119">
        <f>E6*C16</f>
        <v>14062.356000000002</v>
      </c>
      <c r="F16" s="119">
        <f>F6*C16</f>
        <v>19531.05</v>
      </c>
      <c r="G16" s="119">
        <f>G6*C16</f>
        <v>10937.388000000001</v>
      </c>
      <c r="H16" s="119">
        <f>H6*$C$16</f>
        <v>9999.8976000000002</v>
      </c>
      <c r="I16" s="119">
        <f t="shared" ref="I16:Q16" si="13">I6*$C$16</f>
        <v>12265.499400000001</v>
      </c>
      <c r="J16" s="119">
        <f t="shared" si="13"/>
        <v>11874.878400000001</v>
      </c>
      <c r="K16" s="119">
        <f t="shared" si="13"/>
        <v>20156.043600000001</v>
      </c>
      <c r="L16" s="119">
        <f t="shared" si="13"/>
        <v>20468.540400000002</v>
      </c>
      <c r="M16" s="119">
        <f t="shared" si="13"/>
        <v>29046.577560000002</v>
      </c>
      <c r="N16" s="119">
        <f t="shared" si="13"/>
        <v>30046.567319999998</v>
      </c>
      <c r="O16" s="119">
        <f t="shared" si="13"/>
        <v>37265.243399999999</v>
      </c>
      <c r="P16" s="119">
        <f t="shared" si="13"/>
        <v>38827.727399999996</v>
      </c>
      <c r="Q16" s="119">
        <f t="shared" si="13"/>
        <v>44765.166600000004</v>
      </c>
    </row>
    <row r="17" spans="1:17" ht="15.6" thickBot="1" x14ac:dyDescent="0.35">
      <c r="A17" s="1130" t="s">
        <v>544</v>
      </c>
      <c r="B17" s="1131"/>
      <c r="C17" s="120">
        <v>0.06</v>
      </c>
      <c r="D17" s="122">
        <f>IF(D6&lt;$D$1,D6*$C$17,0)</f>
        <v>46874.52</v>
      </c>
      <c r="E17" s="122">
        <f t="shared" ref="E17:Q17" si="14">IF(E6&lt;$D$1,E6*$C$17,0)</f>
        <v>84374.135999999999</v>
      </c>
      <c r="F17" s="122">
        <f t="shared" si="14"/>
        <v>0</v>
      </c>
      <c r="G17" s="122">
        <f t="shared" si="14"/>
        <v>65624.327999999994</v>
      </c>
      <c r="H17" s="122">
        <f t="shared" si="14"/>
        <v>59999.385600000001</v>
      </c>
      <c r="I17" s="122">
        <f t="shared" si="14"/>
        <v>73592.996399999989</v>
      </c>
      <c r="J17" s="122">
        <f t="shared" si="14"/>
        <v>71249.270400000009</v>
      </c>
      <c r="K17" s="122">
        <f t="shared" si="14"/>
        <v>0</v>
      </c>
      <c r="L17" s="122">
        <f t="shared" si="14"/>
        <v>0</v>
      </c>
      <c r="M17" s="122">
        <f t="shared" si="14"/>
        <v>0</v>
      </c>
      <c r="N17" s="122">
        <f t="shared" si="14"/>
        <v>0</v>
      </c>
      <c r="O17" s="122">
        <f t="shared" si="14"/>
        <v>0</v>
      </c>
      <c r="P17" s="122">
        <f t="shared" si="14"/>
        <v>0</v>
      </c>
      <c r="Q17" s="122">
        <f t="shared" si="14"/>
        <v>0</v>
      </c>
    </row>
    <row r="18" spans="1:17" ht="15.6" thickBot="1" x14ac:dyDescent="0.35">
      <c r="A18" s="1126" t="s">
        <v>545</v>
      </c>
      <c r="B18" s="1127"/>
      <c r="C18" s="123" t="s">
        <v>535</v>
      </c>
      <c r="D18" s="124">
        <f>SUM(D6:D17)</f>
        <v>1244466.4232000001</v>
      </c>
      <c r="E18" s="124">
        <f>SUM(E6:E17)</f>
        <v>2240039.56176</v>
      </c>
      <c r="F18" s="124">
        <f>SUM(F6:F17)</f>
        <v>2993979.7579999999</v>
      </c>
      <c r="G18" s="124">
        <f>SUM(G6:G17)</f>
        <v>1742252.9924799995</v>
      </c>
      <c r="H18" s="124">
        <f>SUM(H6:H17)</f>
        <v>1592917.0216960001</v>
      </c>
      <c r="I18" s="124">
        <f t="shared" ref="I18:Q18" si="15">SUM(I6:I17)</f>
        <v>1953812.2844240004</v>
      </c>
      <c r="J18" s="124">
        <f t="shared" si="15"/>
        <v>1891588.9632640004</v>
      </c>
      <c r="K18" s="124">
        <f t="shared" si="15"/>
        <v>3089787.1102559995</v>
      </c>
      <c r="L18" s="124">
        <f t="shared" si="15"/>
        <v>3137690.7863840004</v>
      </c>
      <c r="M18" s="124">
        <f t="shared" si="15"/>
        <v>4452646.6960976003</v>
      </c>
      <c r="N18" s="124">
        <f t="shared" si="15"/>
        <v>4605938.4597071996</v>
      </c>
      <c r="O18" s="124">
        <f t="shared" si="15"/>
        <v>5712513.3782640006</v>
      </c>
      <c r="P18" s="124">
        <f t="shared" si="15"/>
        <v>5952031.7589039989</v>
      </c>
      <c r="Q18" s="124">
        <f t="shared" si="15"/>
        <v>6862201.6053359993</v>
      </c>
    </row>
    <row r="19" spans="1:17" ht="15.6" thickBot="1" x14ac:dyDescent="0.35">
      <c r="A19" s="1120" t="s">
        <v>516</v>
      </c>
      <c r="B19" s="1121"/>
      <c r="C19" s="116" t="s">
        <v>535</v>
      </c>
      <c r="D19" s="122">
        <f>IF(D6&lt;$D$1,$C$2,0)</f>
        <v>88211</v>
      </c>
      <c r="E19" s="122">
        <f t="shared" ref="E19:Q19" si="16">IF(E6&lt;$D$1,$C$2,0)</f>
        <v>88211</v>
      </c>
      <c r="F19" s="122">
        <f t="shared" si="16"/>
        <v>0</v>
      </c>
      <c r="G19" s="122">
        <f t="shared" si="16"/>
        <v>88211</v>
      </c>
      <c r="H19" s="122">
        <f t="shared" si="16"/>
        <v>88211</v>
      </c>
      <c r="I19" s="122">
        <f t="shared" si="16"/>
        <v>88211</v>
      </c>
      <c r="J19" s="122">
        <f t="shared" si="16"/>
        <v>88211</v>
      </c>
      <c r="K19" s="122">
        <f t="shared" si="16"/>
        <v>0</v>
      </c>
      <c r="L19" s="122">
        <f t="shared" si="16"/>
        <v>0</v>
      </c>
      <c r="M19" s="122">
        <f t="shared" si="16"/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  <c r="Q19" s="122">
        <f t="shared" si="16"/>
        <v>0</v>
      </c>
    </row>
    <row r="20" spans="1:17" ht="15" x14ac:dyDescent="0.3">
      <c r="A20" s="1120" t="s">
        <v>546</v>
      </c>
      <c r="B20" s="1121"/>
      <c r="C20" s="120">
        <v>0.03</v>
      </c>
      <c r="D20" s="119">
        <f>$D$6*C20</f>
        <v>23437.26</v>
      </c>
      <c r="E20" s="119">
        <f t="shared" ref="E20:E22" si="17">$E$6*C20</f>
        <v>42187.067999999999</v>
      </c>
      <c r="F20" s="119">
        <f t="shared" ref="F20:F22" si="18">$F$6*C20</f>
        <v>58593.15</v>
      </c>
      <c r="G20" s="119">
        <f t="shared" ref="G20:G22" si="19">+$G$6*C20</f>
        <v>32812.163999999997</v>
      </c>
      <c r="H20" s="119">
        <f>+H6*$C$20</f>
        <v>29999.692800000001</v>
      </c>
      <c r="I20" s="119">
        <f t="shared" ref="I20:Q20" si="20">+I6*$C$20</f>
        <v>36796.498199999995</v>
      </c>
      <c r="J20" s="119">
        <f t="shared" si="20"/>
        <v>35624.635200000004</v>
      </c>
      <c r="K20" s="119">
        <f t="shared" si="20"/>
        <v>60468.130799999999</v>
      </c>
      <c r="L20" s="119">
        <f t="shared" si="20"/>
        <v>61405.621200000001</v>
      </c>
      <c r="M20" s="119">
        <f t="shared" si="20"/>
        <v>87139.732680000001</v>
      </c>
      <c r="N20" s="119">
        <f t="shared" si="20"/>
        <v>90139.701959999991</v>
      </c>
      <c r="O20" s="119">
        <f t="shared" si="20"/>
        <v>111795.73019999999</v>
      </c>
      <c r="P20" s="119">
        <f t="shared" si="20"/>
        <v>116483.1822</v>
      </c>
      <c r="Q20" s="119">
        <f t="shared" si="20"/>
        <v>134295.49979999999</v>
      </c>
    </row>
    <row r="21" spans="1:17" ht="15" x14ac:dyDescent="0.3">
      <c r="A21" s="1120" t="s">
        <v>547</v>
      </c>
      <c r="B21" s="1121"/>
      <c r="C21" s="120">
        <v>0.02</v>
      </c>
      <c r="D21" s="119">
        <f t="shared" ref="D21:D22" si="21">$D$6*C21</f>
        <v>15624.84</v>
      </c>
      <c r="E21" s="119">
        <f t="shared" si="17"/>
        <v>28124.712000000003</v>
      </c>
      <c r="F21" s="119">
        <f t="shared" si="18"/>
        <v>39062.1</v>
      </c>
      <c r="G21" s="119">
        <f t="shared" si="19"/>
        <v>21874.776000000002</v>
      </c>
      <c r="H21" s="119">
        <f>+H6*$C$21</f>
        <v>19999.7952</v>
      </c>
      <c r="I21" s="119">
        <f t="shared" ref="I21:Q21" si="22">+I6*$C$21</f>
        <v>24530.998800000001</v>
      </c>
      <c r="J21" s="119">
        <f t="shared" si="22"/>
        <v>23749.756800000003</v>
      </c>
      <c r="K21" s="119">
        <f t="shared" si="22"/>
        <v>40312.087200000002</v>
      </c>
      <c r="L21" s="119">
        <f t="shared" si="22"/>
        <v>40937.080800000003</v>
      </c>
      <c r="M21" s="119">
        <f t="shared" si="22"/>
        <v>58093.155120000003</v>
      </c>
      <c r="N21" s="119">
        <f t="shared" si="22"/>
        <v>60093.134639999997</v>
      </c>
      <c r="O21" s="119">
        <f t="shared" si="22"/>
        <v>74530.486799999999</v>
      </c>
      <c r="P21" s="119">
        <f t="shared" si="22"/>
        <v>77655.454799999992</v>
      </c>
      <c r="Q21" s="119">
        <f t="shared" si="22"/>
        <v>89530.333200000008</v>
      </c>
    </row>
    <row r="22" spans="1:17" ht="15" x14ac:dyDescent="0.3">
      <c r="A22" s="1122" t="s">
        <v>548</v>
      </c>
      <c r="B22" s="1123"/>
      <c r="C22" s="125">
        <v>2.5000000000000001E-4</v>
      </c>
      <c r="D22" s="119">
        <f t="shared" si="21"/>
        <v>195.31049999999999</v>
      </c>
      <c r="E22" s="119">
        <f t="shared" si="17"/>
        <v>351.55890000000005</v>
      </c>
      <c r="F22" s="119">
        <f t="shared" si="18"/>
        <v>488.27625</v>
      </c>
      <c r="G22" s="119">
        <f t="shared" si="19"/>
        <v>273.43470000000002</v>
      </c>
      <c r="H22" s="119">
        <f>+H6*$C$22</f>
        <v>249.99744000000001</v>
      </c>
      <c r="I22" s="119">
        <f t="shared" ref="I22:Q22" si="23">+I6*$C$22</f>
        <v>306.63748499999997</v>
      </c>
      <c r="J22" s="119">
        <f t="shared" si="23"/>
        <v>296.87196</v>
      </c>
      <c r="K22" s="119">
        <f t="shared" si="23"/>
        <v>503.90109000000001</v>
      </c>
      <c r="L22" s="119">
        <f t="shared" si="23"/>
        <v>511.71351000000004</v>
      </c>
      <c r="M22" s="119">
        <f t="shared" si="23"/>
        <v>726.16443900000002</v>
      </c>
      <c r="N22" s="119">
        <f t="shared" si="23"/>
        <v>751.16418299999998</v>
      </c>
      <c r="O22" s="119">
        <f t="shared" si="23"/>
        <v>931.63108499999998</v>
      </c>
      <c r="P22" s="119">
        <f t="shared" si="23"/>
        <v>970.69318499999997</v>
      </c>
      <c r="Q22" s="119">
        <f t="shared" si="23"/>
        <v>1119.1291650000001</v>
      </c>
    </row>
    <row r="23" spans="1:17" ht="15.6" thickBot="1" x14ac:dyDescent="0.35">
      <c r="A23" s="1124"/>
      <c r="B23" s="1125"/>
      <c r="C23" s="116"/>
      <c r="D23" s="119"/>
      <c r="E23" s="122"/>
      <c r="F23" s="122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ht="15.6" thickBot="1" x14ac:dyDescent="0.35">
      <c r="A24" s="1126" t="s">
        <v>549</v>
      </c>
      <c r="B24" s="1127"/>
      <c r="C24" s="123" t="s">
        <v>535</v>
      </c>
      <c r="D24" s="124">
        <f>SUM(D19:D23)</f>
        <v>127468.4105</v>
      </c>
      <c r="E24" s="124">
        <f>SUM(E19:E23)</f>
        <v>158874.3389</v>
      </c>
      <c r="F24" s="122">
        <f>SUM(F19:F23)</f>
        <v>98143.526249999995</v>
      </c>
      <c r="G24" s="124">
        <f>SUM(G19:G23)</f>
        <v>143171.37470000001</v>
      </c>
      <c r="H24" s="124">
        <f>SUM(H19:H23)</f>
        <v>138460.48544000002</v>
      </c>
      <c r="I24" s="124">
        <f t="shared" ref="I24:Q24" si="24">SUM(I19:I23)</f>
        <v>149845.13448500002</v>
      </c>
      <c r="J24" s="124">
        <f t="shared" si="24"/>
        <v>147882.26395999998</v>
      </c>
      <c r="K24" s="124">
        <f t="shared" si="24"/>
        <v>101284.11908999999</v>
      </c>
      <c r="L24" s="124">
        <f t="shared" si="24"/>
        <v>102854.41551000001</v>
      </c>
      <c r="M24" s="124">
        <f t="shared" si="24"/>
        <v>145959.05223899998</v>
      </c>
      <c r="N24" s="124">
        <f t="shared" si="24"/>
        <v>150984.00078299997</v>
      </c>
      <c r="O24" s="124">
        <f t="shared" si="24"/>
        <v>187257.84808500001</v>
      </c>
      <c r="P24" s="124">
        <f t="shared" si="24"/>
        <v>195109.330185</v>
      </c>
      <c r="Q24" s="124">
        <f t="shared" si="24"/>
        <v>224944.96216499998</v>
      </c>
    </row>
    <row r="25" spans="1:17" ht="15.6" thickBot="1" x14ac:dyDescent="0.35">
      <c r="A25" s="1128" t="s">
        <v>550</v>
      </c>
      <c r="B25" s="1129"/>
      <c r="C25" s="123" t="s">
        <v>535</v>
      </c>
      <c r="D25" s="124">
        <f>+D18+D24</f>
        <v>1371934.8337000001</v>
      </c>
      <c r="E25" s="124">
        <f>+E18+E24</f>
        <v>2398913.9006599998</v>
      </c>
      <c r="F25" s="124">
        <f>F18+F24</f>
        <v>3092123.28425</v>
      </c>
      <c r="G25" s="124">
        <f>+G18+G24</f>
        <v>1885424.3671799996</v>
      </c>
      <c r="H25" s="124">
        <f>+H18+H24</f>
        <v>1731377.5071360001</v>
      </c>
      <c r="I25" s="124">
        <f t="shared" ref="I25:Q25" si="25">+I18+I24</f>
        <v>2103657.4189090002</v>
      </c>
      <c r="J25" s="124">
        <f t="shared" si="25"/>
        <v>2039471.2272240003</v>
      </c>
      <c r="K25" s="124">
        <f t="shared" si="25"/>
        <v>3191071.2293459997</v>
      </c>
      <c r="L25" s="124">
        <f t="shared" si="25"/>
        <v>3240545.2018940006</v>
      </c>
      <c r="M25" s="124">
        <f t="shared" si="25"/>
        <v>4598605.7483366001</v>
      </c>
      <c r="N25" s="124">
        <f t="shared" si="25"/>
        <v>4756922.4604901997</v>
      </c>
      <c r="O25" s="124">
        <f t="shared" si="25"/>
        <v>5899771.2263490008</v>
      </c>
      <c r="P25" s="124">
        <f t="shared" si="25"/>
        <v>6147141.0890889987</v>
      </c>
      <c r="Q25" s="124">
        <f t="shared" si="25"/>
        <v>7087146.5675009992</v>
      </c>
    </row>
    <row r="26" spans="1:17" ht="15.6" thickBot="1" x14ac:dyDescent="0.35">
      <c r="A26" s="1117" t="s">
        <v>551</v>
      </c>
      <c r="B26" s="1118"/>
      <c r="C26" s="123" t="s">
        <v>535</v>
      </c>
      <c r="D26" s="124">
        <f>+D25/30</f>
        <v>45731.161123333339</v>
      </c>
      <c r="E26" s="124">
        <f>+E25/30</f>
        <v>79963.796688666655</v>
      </c>
      <c r="F26" s="124">
        <f t="shared" ref="F26:Q26" si="26">+F25/30</f>
        <v>103070.77614166666</v>
      </c>
      <c r="G26" s="124">
        <f t="shared" si="26"/>
        <v>62847.478905999989</v>
      </c>
      <c r="H26" s="124">
        <f t="shared" si="26"/>
        <v>57712.583571200004</v>
      </c>
      <c r="I26" s="124">
        <f t="shared" si="26"/>
        <v>70121.913963633342</v>
      </c>
      <c r="J26" s="124">
        <f t="shared" si="26"/>
        <v>67982.374240800011</v>
      </c>
      <c r="K26" s="124">
        <f t="shared" si="26"/>
        <v>106369.04097819999</v>
      </c>
      <c r="L26" s="124">
        <f t="shared" si="26"/>
        <v>108018.17339646669</v>
      </c>
      <c r="M26" s="124">
        <f t="shared" si="26"/>
        <v>153286.85827788667</v>
      </c>
      <c r="N26" s="124">
        <f t="shared" si="26"/>
        <v>158564.08201633999</v>
      </c>
      <c r="O26" s="124">
        <f t="shared" si="26"/>
        <v>196659.04087830003</v>
      </c>
      <c r="P26" s="124">
        <f t="shared" si="26"/>
        <v>204904.7029696333</v>
      </c>
      <c r="Q26" s="124">
        <f t="shared" si="26"/>
        <v>236238.21891669996</v>
      </c>
    </row>
    <row r="27" spans="1:17" ht="15.6" thickBot="1" x14ac:dyDescent="0.35">
      <c r="A27" s="1119" t="s">
        <v>552</v>
      </c>
      <c r="B27" s="1119"/>
      <c r="C27" s="123" t="s">
        <v>535</v>
      </c>
      <c r="D27" s="126">
        <f>+D25/22.5</f>
        <v>60974.88149777778</v>
      </c>
      <c r="E27" s="126">
        <f>+E25/22.5</f>
        <v>106618.39558488889</v>
      </c>
      <c r="F27" s="126">
        <f t="shared" ref="F27:Q27" si="27">+F25/22.5</f>
        <v>137427.70152222223</v>
      </c>
      <c r="G27" s="126">
        <f t="shared" si="27"/>
        <v>83796.638541333319</v>
      </c>
      <c r="H27" s="126">
        <f t="shared" si="27"/>
        <v>76950.111428266668</v>
      </c>
      <c r="I27" s="126">
        <f t="shared" si="27"/>
        <v>93495.885284844451</v>
      </c>
      <c r="J27" s="126">
        <f t="shared" si="27"/>
        <v>90643.165654400014</v>
      </c>
      <c r="K27" s="126">
        <f t="shared" si="27"/>
        <v>141825.38797093331</v>
      </c>
      <c r="L27" s="126">
        <f t="shared" si="27"/>
        <v>144024.23119528891</v>
      </c>
      <c r="M27" s="126">
        <f t="shared" si="27"/>
        <v>204382.47770384888</v>
      </c>
      <c r="N27" s="126">
        <f t="shared" si="27"/>
        <v>211418.77602178665</v>
      </c>
      <c r="O27" s="126">
        <f t="shared" si="27"/>
        <v>262212.05450440006</v>
      </c>
      <c r="P27" s="126">
        <f t="shared" si="27"/>
        <v>273206.27062617772</v>
      </c>
      <c r="Q27" s="126">
        <f t="shared" si="27"/>
        <v>314984.29188893328</v>
      </c>
    </row>
  </sheetData>
  <mergeCells count="26">
    <mergeCell ref="A7:B7"/>
    <mergeCell ref="A1:B1"/>
    <mergeCell ref="A2:B2"/>
    <mergeCell ref="A4:B5"/>
    <mergeCell ref="C4:Q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0:B20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workbookViewId="0">
      <selection activeCell="F22" sqref="F22"/>
    </sheetView>
  </sheetViews>
  <sheetFormatPr baseColWidth="10" defaultRowHeight="14.4" x14ac:dyDescent="0.3"/>
  <cols>
    <col min="1" max="1" width="24.88671875" customWidth="1"/>
    <col min="2" max="2" width="11.5546875" customWidth="1"/>
  </cols>
  <sheetData>
    <row r="3" spans="1:3" x14ac:dyDescent="0.3">
      <c r="A3" s="272" t="s">
        <v>812</v>
      </c>
      <c r="B3" s="272" t="s">
        <v>210</v>
      </c>
      <c r="C3" s="272" t="s">
        <v>813</v>
      </c>
    </row>
    <row r="4" spans="1:3" x14ac:dyDescent="0.3">
      <c r="A4" s="273" t="s">
        <v>814</v>
      </c>
      <c r="B4" s="274">
        <v>60848</v>
      </c>
      <c r="C4" s="274">
        <f>+B4/8</f>
        <v>7606</v>
      </c>
    </row>
    <row r="5" spans="1:3" x14ac:dyDescent="0.3">
      <c r="A5" s="273" t="s">
        <v>815</v>
      </c>
      <c r="B5" s="274">
        <f>+B4*2</f>
        <v>121696</v>
      </c>
      <c r="C5" s="274">
        <f t="shared" ref="C5:C12" si="0">+B5/8</f>
        <v>15212</v>
      </c>
    </row>
    <row r="6" spans="1:3" x14ac:dyDescent="0.3">
      <c r="A6" s="273" t="s">
        <v>816</v>
      </c>
      <c r="B6" s="274">
        <f>+B4*3</f>
        <v>182544</v>
      </c>
      <c r="C6" s="274">
        <f t="shared" si="0"/>
        <v>22818</v>
      </c>
    </row>
    <row r="7" spans="1:3" x14ac:dyDescent="0.3">
      <c r="A7" s="273" t="s">
        <v>822</v>
      </c>
      <c r="B7" s="274">
        <f>+B4*4</f>
        <v>243392</v>
      </c>
      <c r="C7" s="274">
        <f t="shared" si="0"/>
        <v>30424</v>
      </c>
    </row>
    <row r="8" spans="1:3" x14ac:dyDescent="0.3">
      <c r="A8" s="273" t="s">
        <v>829</v>
      </c>
      <c r="B8" s="274">
        <f>+B4*6</f>
        <v>365088</v>
      </c>
      <c r="C8" s="274">
        <f t="shared" ref="C8" si="1">+B8/8</f>
        <v>45636</v>
      </c>
    </row>
    <row r="9" spans="1:3" x14ac:dyDescent="0.3">
      <c r="A9" s="273" t="s">
        <v>817</v>
      </c>
      <c r="B9" s="274">
        <v>114496</v>
      </c>
      <c r="C9" s="274">
        <f t="shared" si="0"/>
        <v>14312</v>
      </c>
    </row>
    <row r="10" spans="1:3" x14ac:dyDescent="0.3">
      <c r="A10" s="273" t="s">
        <v>818</v>
      </c>
      <c r="B10" s="274">
        <f>+B9+B4</f>
        <v>175344</v>
      </c>
      <c r="C10" s="274">
        <f t="shared" si="0"/>
        <v>21918</v>
      </c>
    </row>
    <row r="11" spans="1:3" x14ac:dyDescent="0.3">
      <c r="A11" s="273" t="s">
        <v>819</v>
      </c>
      <c r="B11" s="274">
        <f>+B9+B5</f>
        <v>236192</v>
      </c>
      <c r="C11" s="274">
        <f t="shared" si="0"/>
        <v>29524</v>
      </c>
    </row>
    <row r="12" spans="1:3" x14ac:dyDescent="0.3">
      <c r="A12" s="273" t="s">
        <v>820</v>
      </c>
      <c r="B12" s="274">
        <f>+B9+B6</f>
        <v>297040</v>
      </c>
      <c r="C12" s="274">
        <f t="shared" si="0"/>
        <v>37130</v>
      </c>
    </row>
    <row r="13" spans="1:3" x14ac:dyDescent="0.3">
      <c r="A13" s="273" t="s">
        <v>821</v>
      </c>
      <c r="B13" s="274">
        <f>+B9+B7</f>
        <v>357888</v>
      </c>
      <c r="C13" s="274">
        <f t="shared" ref="C13:C17" si="2">+B13/8</f>
        <v>44736</v>
      </c>
    </row>
    <row r="14" spans="1:3" x14ac:dyDescent="0.3">
      <c r="A14" s="273" t="s">
        <v>831</v>
      </c>
      <c r="B14" s="274">
        <f>+B9+B4*5</f>
        <v>418736</v>
      </c>
      <c r="C14" s="274">
        <f t="shared" ref="C14" si="3">+B14/8</f>
        <v>52342</v>
      </c>
    </row>
    <row r="15" spans="1:3" x14ac:dyDescent="0.3">
      <c r="A15" s="273" t="s">
        <v>826</v>
      </c>
      <c r="B15" s="274">
        <f>+B4+B9*7</f>
        <v>862320</v>
      </c>
      <c r="C15" s="274">
        <f t="shared" ref="C15" si="4">+B15/8</f>
        <v>107790</v>
      </c>
    </row>
    <row r="16" spans="1:3" x14ac:dyDescent="0.3">
      <c r="A16" s="273" t="s">
        <v>825</v>
      </c>
      <c r="B16" s="274">
        <f>+(B9*2)+(B7)</f>
        <v>472384</v>
      </c>
      <c r="C16" s="274">
        <f t="shared" si="2"/>
        <v>59048</v>
      </c>
    </row>
    <row r="17" spans="1:3" ht="20.399999999999999" x14ac:dyDescent="0.3">
      <c r="A17" s="273" t="s">
        <v>823</v>
      </c>
      <c r="B17" s="274">
        <v>447632</v>
      </c>
      <c r="C17" s="274">
        <f t="shared" si="2"/>
        <v>55954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78"/>
  <sheetViews>
    <sheetView showGridLines="0" topLeftCell="A118" zoomScaleNormal="100" zoomScaleSheetLayoutView="85" workbookViewId="0">
      <selection activeCell="A176" sqref="A176:D182"/>
    </sheetView>
  </sheetViews>
  <sheetFormatPr baseColWidth="10" defaultColWidth="11.44140625" defaultRowHeight="12" x14ac:dyDescent="0.25"/>
  <cols>
    <col min="1" max="1" width="61" style="429" customWidth="1"/>
    <col min="2" max="2" width="6.109375" style="491" bestFit="1" customWidth="1"/>
    <col min="3" max="3" width="16.88671875" style="496" bestFit="1" customWidth="1"/>
    <col min="4" max="4" width="16.88671875" style="505" bestFit="1" customWidth="1"/>
    <col min="5" max="5" width="8.109375" style="429" customWidth="1"/>
    <col min="6" max="6" width="7" style="430" hidden="1" customWidth="1"/>
    <col min="7" max="7" width="16.109375" style="430" hidden="1" customWidth="1"/>
    <col min="8" max="8" width="14.88671875" style="430" hidden="1" customWidth="1"/>
    <col min="9" max="9" width="15.44140625" style="430" customWidth="1"/>
    <col min="10" max="10" width="11.88671875" style="430" customWidth="1"/>
    <col min="11" max="11" width="14.5546875" style="430" customWidth="1"/>
    <col min="12" max="12" width="15.33203125" style="430" customWidth="1"/>
    <col min="13" max="13" width="18.109375" style="430" customWidth="1"/>
    <col min="14" max="16384" width="11.44140625" style="430"/>
  </cols>
  <sheetData>
    <row r="1" spans="1:8" ht="12.6" thickBot="1" x14ac:dyDescent="0.3"/>
    <row r="2" spans="1:8" ht="12" customHeight="1" x14ac:dyDescent="0.25">
      <c r="A2" s="490" t="s">
        <v>914</v>
      </c>
      <c r="B2" s="492"/>
      <c r="C2" s="497"/>
      <c r="D2" s="506"/>
    </row>
    <row r="3" spans="1:8" ht="12.6" thickBot="1" x14ac:dyDescent="0.3">
      <c r="A3" s="431" t="s">
        <v>841</v>
      </c>
      <c r="B3" s="431" t="s">
        <v>205</v>
      </c>
      <c r="C3" s="498" t="s">
        <v>908</v>
      </c>
      <c r="D3" s="507" t="s">
        <v>909</v>
      </c>
    </row>
    <row r="4" spans="1:8" ht="12.6" thickTop="1" x14ac:dyDescent="0.25">
      <c r="A4" s="432" t="str">
        <f>+APU!B133</f>
        <v>Acometida medidor</v>
      </c>
      <c r="B4" s="448" t="str">
        <f>+APU!C133</f>
        <v xml:space="preserve">m </v>
      </c>
      <c r="C4" s="499">
        <v>48494.600000000006</v>
      </c>
      <c r="D4" s="508">
        <f>+ROUND(C4*F4,1)</f>
        <v>50337.4</v>
      </c>
      <c r="F4" s="430">
        <v>1.038</v>
      </c>
      <c r="G4" s="433">
        <f>+D4-C4</f>
        <v>1842.7999999999956</v>
      </c>
      <c r="H4" s="434">
        <f>+G4/C4</f>
        <v>3.800010722843359E-2</v>
      </c>
    </row>
    <row r="5" spans="1:8" x14ac:dyDescent="0.25">
      <c r="A5" s="435" t="str">
        <f>+APU!B134</f>
        <v xml:space="preserve">Medidor (Sum+Instal) </v>
      </c>
      <c r="B5" s="448" t="str">
        <f>+APU!C134</f>
        <v>Und</v>
      </c>
      <c r="C5" s="499">
        <v>385686.84</v>
      </c>
      <c r="D5" s="508">
        <f t="shared" ref="D5:D13" si="0">+ROUND(C5*F5,1)</f>
        <v>400342.9</v>
      </c>
      <c r="F5" s="430">
        <v>1.038</v>
      </c>
      <c r="G5" s="433">
        <f t="shared" ref="G5:G13" si="1">+D5-C5</f>
        <v>14656.059999999998</v>
      </c>
      <c r="H5" s="434">
        <f t="shared" ref="H5:H13" si="2">+G5/C5</f>
        <v>3.7999896496338836E-2</v>
      </c>
    </row>
    <row r="6" spans="1:8" x14ac:dyDescent="0.25">
      <c r="A6" s="435" t="str">
        <f>+APU!B135</f>
        <v xml:space="preserve">Puesta a Tierra Medidor               </v>
      </c>
      <c r="B6" s="448" t="str">
        <f>+APU!C135</f>
        <v>Und</v>
      </c>
      <c r="C6" s="499">
        <v>254854.6</v>
      </c>
      <c r="D6" s="508">
        <f t="shared" si="0"/>
        <v>264539.09999999998</v>
      </c>
      <c r="F6" s="430">
        <v>1.038</v>
      </c>
      <c r="G6" s="433">
        <f t="shared" si="1"/>
        <v>9684.4999999999709</v>
      </c>
      <c r="H6" s="434">
        <f t="shared" si="2"/>
        <v>3.8000098879910231E-2</v>
      </c>
    </row>
    <row r="7" spans="1:8" ht="24" x14ac:dyDescent="0.25">
      <c r="A7" s="435" t="str">
        <f>+APU!B137</f>
        <v>Red de baja tensión trensada, cable cuádruplex autosoportado 3x4/0, herrajes, accesorios, tendido</v>
      </c>
      <c r="B7" s="448" t="str">
        <f>+APU!C137</f>
        <v xml:space="preserve">m </v>
      </c>
      <c r="C7" s="499">
        <v>40446.560000000005</v>
      </c>
      <c r="D7" s="508">
        <f t="shared" si="0"/>
        <v>41983.5</v>
      </c>
      <c r="F7" s="430">
        <v>1.038</v>
      </c>
      <c r="G7" s="433">
        <f t="shared" si="1"/>
        <v>1536.9399999999951</v>
      </c>
      <c r="H7" s="434">
        <f t="shared" si="2"/>
        <v>3.7999276081822408E-2</v>
      </c>
    </row>
    <row r="8" spans="1:8" x14ac:dyDescent="0.25">
      <c r="A8" s="435" t="str">
        <f>+APU!B138</f>
        <v>Cajas de derivación red trensada</v>
      </c>
      <c r="B8" s="448" t="str">
        <f>+APU!C138</f>
        <v>Und</v>
      </c>
      <c r="C8" s="499">
        <v>257950</v>
      </c>
      <c r="D8" s="508">
        <f t="shared" si="0"/>
        <v>267752.09999999998</v>
      </c>
      <c r="F8" s="430">
        <v>1.038</v>
      </c>
      <c r="G8" s="433">
        <f t="shared" si="1"/>
        <v>9802.0999999999767</v>
      </c>
      <c r="H8" s="434">
        <f t="shared" si="2"/>
        <v>3.7999999999999909E-2</v>
      </c>
    </row>
    <row r="9" spans="1:8" x14ac:dyDescent="0.25">
      <c r="A9" s="435" t="str">
        <f>+APU!B139</f>
        <v xml:space="preserve">Poste concretoAP10 m510 Kg+Base Conc     </v>
      </c>
      <c r="B9" s="448" t="str">
        <f>+APU!C139</f>
        <v>Und</v>
      </c>
      <c r="C9" s="499">
        <v>955446.8</v>
      </c>
      <c r="D9" s="508">
        <f t="shared" si="0"/>
        <v>991753.8</v>
      </c>
      <c r="F9" s="430">
        <v>1.038</v>
      </c>
      <c r="G9" s="433">
        <f t="shared" si="1"/>
        <v>36307</v>
      </c>
      <c r="H9" s="434">
        <f t="shared" si="2"/>
        <v>3.8000022607224175E-2</v>
      </c>
    </row>
    <row r="10" spans="1:8" x14ac:dyDescent="0.25">
      <c r="A10" s="435" t="str">
        <f>+APU!B140</f>
        <v>Retenida de baja tensión</v>
      </c>
      <c r="B10" s="448" t="str">
        <f>+APU!C140</f>
        <v>Und</v>
      </c>
      <c r="C10" s="499">
        <v>355971</v>
      </c>
      <c r="D10" s="508">
        <f t="shared" si="0"/>
        <v>369497.9</v>
      </c>
      <c r="F10" s="430">
        <v>1.038</v>
      </c>
      <c r="G10" s="433">
        <f t="shared" si="1"/>
        <v>13526.900000000023</v>
      </c>
      <c r="H10" s="434">
        <f t="shared" si="2"/>
        <v>3.8000005618435272E-2</v>
      </c>
    </row>
    <row r="11" spans="1:8" x14ac:dyDescent="0.25">
      <c r="A11" s="435" t="str">
        <f>+APU!B142</f>
        <v>Tablero .24 circ l/nex con espac. totaliz(sum+inst)</v>
      </c>
      <c r="B11" s="448" t="str">
        <f>+APU!C142</f>
        <v>Und</v>
      </c>
      <c r="C11" s="499">
        <v>444705.80000000005</v>
      </c>
      <c r="D11" s="508">
        <f t="shared" si="0"/>
        <v>461604.6</v>
      </c>
      <c r="F11" s="430">
        <v>1.038</v>
      </c>
      <c r="G11" s="433">
        <f t="shared" si="1"/>
        <v>16898.79999999993</v>
      </c>
      <c r="H11" s="434">
        <f t="shared" si="2"/>
        <v>3.7999954126975474E-2</v>
      </c>
    </row>
    <row r="12" spans="1:8" x14ac:dyDescent="0.25">
      <c r="A12" s="435" t="str">
        <f>+APU!B143</f>
        <v xml:space="preserve">Breaker 15/20 Amp. - 10 KA (Sum+Inst.)           </v>
      </c>
      <c r="B12" s="448" t="str">
        <f>+APU!C143</f>
        <v>Und</v>
      </c>
      <c r="C12" s="499">
        <v>14961.1</v>
      </c>
      <c r="D12" s="508">
        <f t="shared" si="0"/>
        <v>15529.6</v>
      </c>
      <c r="F12" s="430">
        <v>1.038</v>
      </c>
      <c r="G12" s="433">
        <f t="shared" si="1"/>
        <v>568.5</v>
      </c>
      <c r="H12" s="434">
        <f t="shared" si="2"/>
        <v>3.7998542887889258E-2</v>
      </c>
    </row>
    <row r="13" spans="1:8" x14ac:dyDescent="0.25">
      <c r="A13" s="435" t="str">
        <f>+APU!B144</f>
        <v xml:space="preserve">Sistema de puesta a tierra varilla 5/8" X 2,4 m        </v>
      </c>
      <c r="B13" s="448" t="str">
        <f>+APU!C144</f>
        <v>Und</v>
      </c>
      <c r="C13" s="499">
        <v>1003012.78</v>
      </c>
      <c r="D13" s="508">
        <f t="shared" si="0"/>
        <v>1041127.3</v>
      </c>
      <c r="F13" s="430">
        <v>1.038</v>
      </c>
      <c r="G13" s="433">
        <f t="shared" si="1"/>
        <v>38114.520000000019</v>
      </c>
      <c r="H13" s="434">
        <f t="shared" si="2"/>
        <v>3.800003425679184E-2</v>
      </c>
    </row>
    <row r="14" spans="1:8" ht="12.6" thickBot="1" x14ac:dyDescent="0.3"/>
    <row r="15" spans="1:8" x14ac:dyDescent="0.25">
      <c r="A15" s="490" t="s">
        <v>861</v>
      </c>
      <c r="B15" s="492"/>
      <c r="C15" s="497"/>
      <c r="D15" s="506"/>
    </row>
    <row r="16" spans="1:8" ht="12.6" thickBot="1" x14ac:dyDescent="0.3">
      <c r="A16" s="436" t="s">
        <v>841</v>
      </c>
      <c r="B16" s="437" t="s">
        <v>205</v>
      </c>
      <c r="C16" s="498" t="s">
        <v>908</v>
      </c>
      <c r="D16" s="507" t="s">
        <v>909</v>
      </c>
    </row>
    <row r="17" spans="1:8" ht="13.2" thickTop="1" thickBot="1" x14ac:dyDescent="0.3">
      <c r="A17" s="438" t="s">
        <v>136</v>
      </c>
      <c r="B17" s="439" t="s">
        <v>102</v>
      </c>
      <c r="C17" s="500">
        <v>8770.3000000000011</v>
      </c>
      <c r="D17" s="508">
        <f t="shared" ref="D17" si="3">+ROUND(C17*F17,1)</f>
        <v>9103.6</v>
      </c>
      <c r="F17" s="430">
        <v>1.038</v>
      </c>
      <c r="G17" s="433">
        <f>+D17-C17</f>
        <v>333.29999999999927</v>
      </c>
      <c r="H17" s="434">
        <f>+G17/C17</f>
        <v>3.8003261005894809E-2</v>
      </c>
    </row>
    <row r="18" spans="1:8" x14ac:dyDescent="0.25">
      <c r="A18" s="440"/>
      <c r="B18" s="493"/>
      <c r="C18" s="501"/>
      <c r="D18" s="509"/>
    </row>
    <row r="19" spans="1:8" ht="12.6" thickBot="1" x14ac:dyDescent="0.3">
      <c r="A19" s="440"/>
      <c r="B19" s="493"/>
      <c r="C19" s="501"/>
      <c r="D19" s="509"/>
    </row>
    <row r="20" spans="1:8" x14ac:dyDescent="0.25">
      <c r="A20" s="490" t="s">
        <v>842</v>
      </c>
      <c r="B20" s="492"/>
      <c r="C20" s="497"/>
      <c r="D20" s="506"/>
    </row>
    <row r="21" spans="1:8" ht="12.6" thickBot="1" x14ac:dyDescent="0.3">
      <c r="A21" s="436" t="s">
        <v>841</v>
      </c>
      <c r="B21" s="437" t="s">
        <v>205</v>
      </c>
      <c r="C21" s="498" t="s">
        <v>908</v>
      </c>
      <c r="D21" s="507" t="s">
        <v>909</v>
      </c>
    </row>
    <row r="22" spans="1:8" ht="13.2" thickTop="1" thickBot="1" x14ac:dyDescent="0.3">
      <c r="A22" s="438" t="s">
        <v>141</v>
      </c>
      <c r="B22" s="439" t="s">
        <v>102</v>
      </c>
      <c r="C22" s="500">
        <v>16236.982608000002</v>
      </c>
      <c r="D22" s="508">
        <f t="shared" ref="D22" si="4">+ROUND(C22*F22,1)</f>
        <v>16753.3</v>
      </c>
      <c r="F22" s="430">
        <v>1.0318000000000001</v>
      </c>
      <c r="G22" s="433">
        <f>+D22-C22</f>
        <v>516.3173919999972</v>
      </c>
      <c r="H22" s="434">
        <f>+G22/C22</f>
        <v>3.1798851083674029E-2</v>
      </c>
    </row>
    <row r="23" spans="1:8" ht="12.6" thickBot="1" x14ac:dyDescent="0.3">
      <c r="G23" s="433"/>
      <c r="H23" s="434"/>
    </row>
    <row r="24" spans="1:8" ht="12" customHeight="1" x14ac:dyDescent="0.25">
      <c r="A24" s="489" t="s">
        <v>862</v>
      </c>
      <c r="B24" s="494"/>
      <c r="C24" s="502"/>
      <c r="D24" s="510"/>
      <c r="G24" s="433"/>
      <c r="H24" s="434"/>
    </row>
    <row r="25" spans="1:8" ht="12.6" thickBot="1" x14ac:dyDescent="0.3">
      <c r="A25" s="436" t="s">
        <v>841</v>
      </c>
      <c r="B25" s="437" t="s">
        <v>205</v>
      </c>
      <c r="C25" s="498" t="s">
        <v>908</v>
      </c>
      <c r="D25" s="507" t="s">
        <v>909</v>
      </c>
      <c r="G25" s="433"/>
      <c r="H25" s="434"/>
    </row>
    <row r="26" spans="1:8" ht="13.2" thickTop="1" thickBot="1" x14ac:dyDescent="0.3">
      <c r="A26" s="438" t="s">
        <v>150</v>
      </c>
      <c r="B26" s="441" t="s">
        <v>4</v>
      </c>
      <c r="C26" s="500">
        <v>24878.761600000002</v>
      </c>
      <c r="D26" s="508">
        <f t="shared" ref="D26" si="5">+ROUND(C26*F26,1)</f>
        <v>25669.9</v>
      </c>
      <c r="F26" s="430">
        <v>1.0318000000000001</v>
      </c>
      <c r="G26" s="433">
        <f>+D26-C26</f>
        <v>791.13839999999982</v>
      </c>
      <c r="H26" s="434">
        <f>+G26/C26</f>
        <v>3.1799750032573959E-2</v>
      </c>
    </row>
    <row r="27" spans="1:8" ht="12.6" thickBot="1" x14ac:dyDescent="0.3">
      <c r="G27" s="433"/>
      <c r="H27" s="434"/>
    </row>
    <row r="28" spans="1:8" ht="36" customHeight="1" x14ac:dyDescent="0.25">
      <c r="A28" s="489" t="s">
        <v>843</v>
      </c>
      <c r="B28" s="494"/>
      <c r="C28" s="502"/>
      <c r="D28" s="510"/>
      <c r="G28" s="433"/>
      <c r="H28" s="434"/>
    </row>
    <row r="29" spans="1:8" ht="12.6" thickBot="1" x14ac:dyDescent="0.3">
      <c r="A29" s="436" t="s">
        <v>841</v>
      </c>
      <c r="B29" s="437" t="s">
        <v>205</v>
      </c>
      <c r="C29" s="498" t="s">
        <v>908</v>
      </c>
      <c r="D29" s="507" t="s">
        <v>909</v>
      </c>
      <c r="G29" s="433"/>
      <c r="H29" s="434"/>
    </row>
    <row r="30" spans="1:8" ht="13.2" thickTop="1" thickBot="1" x14ac:dyDescent="0.3">
      <c r="A30" s="438" t="s">
        <v>106</v>
      </c>
      <c r="B30" s="441" t="s">
        <v>4</v>
      </c>
      <c r="C30" s="500">
        <v>56680.003508768365</v>
      </c>
      <c r="D30" s="508">
        <f t="shared" ref="D30" si="6">+ROUND(C30*F30,1)</f>
        <v>58482.400000000001</v>
      </c>
      <c r="F30" s="430">
        <v>1.0318000000000001</v>
      </c>
      <c r="G30" s="433">
        <f>+D30-C30</f>
        <v>1802.3964912316369</v>
      </c>
      <c r="H30" s="434">
        <f>+G30/C30</f>
        <v>3.1799512696798038E-2</v>
      </c>
    </row>
    <row r="31" spans="1:8" ht="12.6" thickBot="1" x14ac:dyDescent="0.3">
      <c r="G31" s="433"/>
      <c r="H31" s="434"/>
    </row>
    <row r="32" spans="1:8" ht="32.25" customHeight="1" x14ac:dyDescent="0.25">
      <c r="A32" s="489" t="s">
        <v>844</v>
      </c>
      <c r="B32" s="494"/>
      <c r="C32" s="502"/>
      <c r="D32" s="510"/>
      <c r="G32" s="433"/>
      <c r="H32" s="434"/>
    </row>
    <row r="33" spans="1:8" ht="12.6" thickBot="1" x14ac:dyDescent="0.3">
      <c r="A33" s="436" t="s">
        <v>841</v>
      </c>
      <c r="B33" s="437" t="s">
        <v>205</v>
      </c>
      <c r="C33" s="498" t="s">
        <v>908</v>
      </c>
      <c r="D33" s="507" t="s">
        <v>909</v>
      </c>
      <c r="G33" s="433"/>
      <c r="H33" s="434"/>
    </row>
    <row r="34" spans="1:8" ht="13.2" thickTop="1" thickBot="1" x14ac:dyDescent="0.3">
      <c r="A34" s="438" t="s">
        <v>97</v>
      </c>
      <c r="B34" s="441" t="s">
        <v>4</v>
      </c>
      <c r="C34" s="500">
        <v>8563.94</v>
      </c>
      <c r="D34" s="508">
        <f t="shared" ref="D34" si="7">+ROUND(C34*F34,1)</f>
        <v>8836.2999999999993</v>
      </c>
      <c r="F34" s="430">
        <v>1.0318000000000001</v>
      </c>
      <c r="G34" s="433">
        <f>+D34-C34</f>
        <v>272.35999999999876</v>
      </c>
      <c r="H34" s="434">
        <f>+G34/C34</f>
        <v>3.1803118658000729E-2</v>
      </c>
    </row>
    <row r="35" spans="1:8" ht="12.6" thickBot="1" x14ac:dyDescent="0.3">
      <c r="A35" s="442"/>
      <c r="B35" s="495"/>
      <c r="C35" s="503"/>
      <c r="D35" s="511"/>
      <c r="G35" s="433"/>
      <c r="H35" s="434"/>
    </row>
    <row r="36" spans="1:8" ht="39" customHeight="1" x14ac:dyDescent="0.25">
      <c r="A36" s="489" t="s">
        <v>845</v>
      </c>
      <c r="B36" s="494"/>
      <c r="C36" s="502"/>
      <c r="D36" s="510"/>
      <c r="G36" s="433"/>
      <c r="H36" s="434"/>
    </row>
    <row r="37" spans="1:8" ht="12.6" thickBot="1" x14ac:dyDescent="0.3">
      <c r="A37" s="436" t="s">
        <v>841</v>
      </c>
      <c r="B37" s="437" t="s">
        <v>205</v>
      </c>
      <c r="C37" s="498" t="s">
        <v>908</v>
      </c>
      <c r="D37" s="507" t="s">
        <v>909</v>
      </c>
      <c r="G37" s="433"/>
      <c r="H37" s="434"/>
    </row>
    <row r="38" spans="1:8" ht="13.2" thickTop="1" thickBot="1" x14ac:dyDescent="0.3">
      <c r="A38" s="438" t="s">
        <v>106</v>
      </c>
      <c r="B38" s="441" t="s">
        <v>4</v>
      </c>
      <c r="C38" s="500">
        <v>54447.6498643308</v>
      </c>
      <c r="D38" s="508">
        <f t="shared" ref="D38" si="8">+ROUND(C38*F38,1)</f>
        <v>56179.1</v>
      </c>
      <c r="F38" s="430">
        <v>1.0318000000000001</v>
      </c>
      <c r="G38" s="433">
        <f>+D38-C38</f>
        <v>1731.4501356691981</v>
      </c>
      <c r="H38" s="434">
        <f>+G38/C38</f>
        <v>3.1800273106066389E-2</v>
      </c>
    </row>
    <row r="39" spans="1:8" ht="12.6" thickBot="1" x14ac:dyDescent="0.3">
      <c r="A39" s="442"/>
      <c r="B39" s="495"/>
      <c r="C39" s="503"/>
      <c r="D39" s="511"/>
      <c r="G39" s="433"/>
      <c r="H39" s="434"/>
    </row>
    <row r="40" spans="1:8" ht="30" customHeight="1" x14ac:dyDescent="0.25">
      <c r="A40" s="489" t="s">
        <v>846</v>
      </c>
      <c r="B40" s="494"/>
      <c r="C40" s="502"/>
      <c r="D40" s="510"/>
      <c r="G40" s="433"/>
      <c r="H40" s="434"/>
    </row>
    <row r="41" spans="1:8" ht="12.6" thickBot="1" x14ac:dyDescent="0.3">
      <c r="A41" s="436" t="s">
        <v>841</v>
      </c>
      <c r="B41" s="437" t="s">
        <v>205</v>
      </c>
      <c r="C41" s="498" t="s">
        <v>908</v>
      </c>
      <c r="D41" s="507" t="s">
        <v>909</v>
      </c>
      <c r="G41" s="433"/>
      <c r="H41" s="434"/>
    </row>
    <row r="42" spans="1:8" ht="12.6" thickTop="1" x14ac:dyDescent="0.25">
      <c r="A42" s="443" t="s">
        <v>161</v>
      </c>
      <c r="B42" s="444" t="s">
        <v>7</v>
      </c>
      <c r="C42" s="504">
        <v>399845.38722251198</v>
      </c>
      <c r="D42" s="508">
        <f t="shared" ref="D42:D45" si="9">+ROUND(C42*F42,1)</f>
        <v>412560.5</v>
      </c>
      <c r="F42" s="430">
        <v>1.0318000000000001</v>
      </c>
      <c r="G42" s="433">
        <f>+D42-C42</f>
        <v>12715.112777488015</v>
      </c>
      <c r="H42" s="434">
        <f>+G42/C42</f>
        <v>3.1800073688013103E-2</v>
      </c>
    </row>
    <row r="43" spans="1:8" x14ac:dyDescent="0.25">
      <c r="A43" s="443" t="s">
        <v>162</v>
      </c>
      <c r="B43" s="444" t="s">
        <v>5</v>
      </c>
      <c r="C43" s="504">
        <v>113498</v>
      </c>
      <c r="D43" s="508">
        <f t="shared" si="9"/>
        <v>117107.2</v>
      </c>
      <c r="F43" s="430">
        <v>1.0318000000000001</v>
      </c>
      <c r="G43" s="433">
        <f>+D43-C43</f>
        <v>3609.1999999999971</v>
      </c>
      <c r="H43" s="434">
        <f>+G43/C43</f>
        <v>3.179967928950287E-2</v>
      </c>
    </row>
    <row r="44" spans="1:8" x14ac:dyDescent="0.25">
      <c r="A44" s="443" t="s">
        <v>163</v>
      </c>
      <c r="B44" s="444" t="s">
        <v>102</v>
      </c>
      <c r="C44" s="504">
        <v>10168.203276</v>
      </c>
      <c r="D44" s="508">
        <f t="shared" si="9"/>
        <v>10491.6</v>
      </c>
      <c r="F44" s="430">
        <v>1.0318000000000001</v>
      </c>
      <c r="G44" s="433">
        <f>+D44-C44</f>
        <v>323.39672400000018</v>
      </c>
      <c r="H44" s="434">
        <f>+G44/C44</f>
        <v>3.1804706812196916E-2</v>
      </c>
    </row>
    <row r="45" spans="1:8" ht="12.6" thickBot="1" x14ac:dyDescent="0.3">
      <c r="A45" s="445" t="s">
        <v>164</v>
      </c>
      <c r="B45" s="446" t="s">
        <v>102</v>
      </c>
      <c r="C45" s="500">
        <v>53292.47</v>
      </c>
      <c r="D45" s="508">
        <f t="shared" si="9"/>
        <v>54987.199999999997</v>
      </c>
      <c r="F45" s="430">
        <v>1.0318000000000001</v>
      </c>
      <c r="G45" s="433">
        <f>+D45-C45</f>
        <v>1694.7299999999959</v>
      </c>
      <c r="H45" s="434">
        <f>+G45/C45</f>
        <v>3.1800552685960999E-2</v>
      </c>
    </row>
    <row r="46" spans="1:8" ht="12.6" thickBot="1" x14ac:dyDescent="0.3">
      <c r="A46" s="442"/>
      <c r="B46" s="495"/>
      <c r="C46" s="503"/>
      <c r="D46" s="511"/>
      <c r="G46" s="433"/>
      <c r="H46" s="434"/>
    </row>
    <row r="47" spans="1:8" ht="16.5" customHeight="1" x14ac:dyDescent="0.25">
      <c r="A47" s="489" t="s">
        <v>847</v>
      </c>
      <c r="B47" s="494"/>
      <c r="C47" s="502"/>
      <c r="D47" s="510"/>
      <c r="G47" s="433"/>
      <c r="H47" s="434"/>
    </row>
    <row r="48" spans="1:8" ht="12.6" thickBot="1" x14ac:dyDescent="0.3">
      <c r="A48" s="436" t="s">
        <v>841</v>
      </c>
      <c r="B48" s="437" t="s">
        <v>205</v>
      </c>
      <c r="C48" s="498" t="s">
        <v>908</v>
      </c>
      <c r="D48" s="507" t="s">
        <v>909</v>
      </c>
      <c r="G48" s="433"/>
      <c r="H48" s="434"/>
    </row>
    <row r="49" spans="1:8" ht="12.6" thickTop="1" x14ac:dyDescent="0.25">
      <c r="A49" s="447" t="s">
        <v>167</v>
      </c>
      <c r="B49" s="448" t="s">
        <v>5</v>
      </c>
      <c r="C49" s="504">
        <v>13556.8202</v>
      </c>
      <c r="D49" s="508">
        <f t="shared" ref="D49:D51" si="10">+ROUND(C49*F49,1)</f>
        <v>13987.9</v>
      </c>
      <c r="F49" s="430">
        <v>1.0318000000000001</v>
      </c>
      <c r="G49" s="433">
        <f>+D49-C49</f>
        <v>431.07979999999952</v>
      </c>
      <c r="H49" s="434">
        <f>+G49/C49</f>
        <v>3.1798002307355196E-2</v>
      </c>
    </row>
    <row r="50" spans="1:8" x14ac:dyDescent="0.25">
      <c r="A50" s="449" t="s">
        <v>169</v>
      </c>
      <c r="B50" s="444" t="s">
        <v>36</v>
      </c>
      <c r="C50" s="504">
        <v>299222</v>
      </c>
      <c r="D50" s="508">
        <f t="shared" si="10"/>
        <v>308737.3</v>
      </c>
      <c r="F50" s="430">
        <v>1.0318000000000001</v>
      </c>
      <c r="G50" s="433">
        <f>+D50-C50</f>
        <v>9515.2999999999884</v>
      </c>
      <c r="H50" s="434">
        <f>+G50/C50</f>
        <v>3.180013501681022E-2</v>
      </c>
    </row>
    <row r="51" spans="1:8" ht="12.6" thickBot="1" x14ac:dyDescent="0.3">
      <c r="A51" s="450" t="s">
        <v>171</v>
      </c>
      <c r="B51" s="451" t="s">
        <v>152</v>
      </c>
      <c r="C51" s="500">
        <v>5674.9000000000005</v>
      </c>
      <c r="D51" s="508">
        <f t="shared" si="10"/>
        <v>5855.4</v>
      </c>
      <c r="F51" s="430">
        <v>1.0318000000000001</v>
      </c>
      <c r="G51" s="433">
        <f>+D51-C51</f>
        <v>180.49999999999909</v>
      </c>
      <c r="H51" s="434">
        <f>+G51/C51</f>
        <v>3.1806727871856608E-2</v>
      </c>
    </row>
    <row r="52" spans="1:8" ht="12.6" thickBot="1" x14ac:dyDescent="0.3">
      <c r="A52" s="442"/>
      <c r="B52" s="495"/>
      <c r="C52" s="503"/>
      <c r="D52" s="511"/>
      <c r="G52" s="433"/>
      <c r="H52" s="434"/>
    </row>
    <row r="53" spans="1:8" ht="38.25" customHeight="1" x14ac:dyDescent="0.25">
      <c r="A53" s="489" t="s">
        <v>848</v>
      </c>
      <c r="B53" s="494"/>
      <c r="C53" s="502"/>
      <c r="D53" s="510"/>
      <c r="G53" s="433"/>
      <c r="H53" s="434"/>
    </row>
    <row r="54" spans="1:8" ht="12.6" thickBot="1" x14ac:dyDescent="0.3">
      <c r="A54" s="436" t="s">
        <v>841</v>
      </c>
      <c r="B54" s="437" t="s">
        <v>205</v>
      </c>
      <c r="C54" s="498" t="s">
        <v>908</v>
      </c>
      <c r="D54" s="507" t="s">
        <v>909</v>
      </c>
      <c r="G54" s="433"/>
      <c r="H54" s="434"/>
    </row>
    <row r="55" spans="1:8" ht="12.6" thickTop="1" x14ac:dyDescent="0.25">
      <c r="A55" s="443" t="s">
        <v>731</v>
      </c>
      <c r="B55" s="444" t="s">
        <v>5</v>
      </c>
      <c r="C55" s="504">
        <v>123816</v>
      </c>
      <c r="D55" s="508">
        <f t="shared" ref="D55:D56" si="11">+ROUND(C55*F55,1)</f>
        <v>127753.3</v>
      </c>
      <c r="F55" s="430">
        <v>1.0318000000000001</v>
      </c>
      <c r="G55" s="433">
        <f>+D55-C55</f>
        <v>3937.3000000000029</v>
      </c>
      <c r="H55" s="434">
        <f>+G55/C55</f>
        <v>3.1799605866770067E-2</v>
      </c>
    </row>
    <row r="56" spans="1:8" ht="12.6" thickBot="1" x14ac:dyDescent="0.3">
      <c r="A56" s="445" t="s">
        <v>164</v>
      </c>
      <c r="B56" s="446" t="s">
        <v>102</v>
      </c>
      <c r="C56" s="500">
        <v>6706.7000000000007</v>
      </c>
      <c r="D56" s="508">
        <f t="shared" si="11"/>
        <v>6920</v>
      </c>
      <c r="F56" s="430">
        <v>1.0318000000000001</v>
      </c>
      <c r="G56" s="433">
        <f>+D56-C56</f>
        <v>213.29999999999927</v>
      </c>
      <c r="H56" s="434">
        <f>+G56/C56</f>
        <v>3.1804016878643634E-2</v>
      </c>
    </row>
    <row r="57" spans="1:8" ht="12.6" thickBot="1" x14ac:dyDescent="0.3">
      <c r="A57" s="442"/>
      <c r="B57" s="495"/>
      <c r="C57" s="503"/>
      <c r="D57" s="511"/>
      <c r="G57" s="433"/>
      <c r="H57" s="434"/>
    </row>
    <row r="58" spans="1:8" ht="33.75" customHeight="1" x14ac:dyDescent="0.25">
      <c r="A58" s="489" t="s">
        <v>849</v>
      </c>
      <c r="B58" s="494"/>
      <c r="C58" s="502"/>
      <c r="D58" s="510"/>
      <c r="G58" s="433"/>
      <c r="H58" s="434"/>
    </row>
    <row r="59" spans="1:8" ht="12.6" thickBot="1" x14ac:dyDescent="0.3">
      <c r="A59" s="436" t="s">
        <v>841</v>
      </c>
      <c r="B59" s="437" t="s">
        <v>205</v>
      </c>
      <c r="C59" s="498" t="s">
        <v>908</v>
      </c>
      <c r="D59" s="507" t="s">
        <v>909</v>
      </c>
      <c r="G59" s="433"/>
      <c r="H59" s="434"/>
    </row>
    <row r="60" spans="1:8" ht="12.6" thickTop="1" x14ac:dyDescent="0.25">
      <c r="A60" s="443" t="s">
        <v>734</v>
      </c>
      <c r="B60" s="444" t="s">
        <v>5</v>
      </c>
      <c r="C60" s="504">
        <v>123816</v>
      </c>
      <c r="D60" s="508">
        <f t="shared" ref="D60:D61" si="12">+ROUND(C60*F60,1)</f>
        <v>127753.3</v>
      </c>
      <c r="F60" s="430">
        <v>1.0318000000000001</v>
      </c>
      <c r="G60" s="433">
        <f>+D60-C60</f>
        <v>3937.3000000000029</v>
      </c>
      <c r="H60" s="434">
        <f>+G60/C60</f>
        <v>3.1799605866770067E-2</v>
      </c>
    </row>
    <row r="61" spans="1:8" ht="12.6" thickBot="1" x14ac:dyDescent="0.3">
      <c r="A61" s="445" t="s">
        <v>164</v>
      </c>
      <c r="B61" s="446" t="s">
        <v>102</v>
      </c>
      <c r="C61" s="500">
        <v>6706.7000000000007</v>
      </c>
      <c r="D61" s="508">
        <f t="shared" si="12"/>
        <v>6920</v>
      </c>
      <c r="F61" s="430">
        <v>1.0318000000000001</v>
      </c>
      <c r="G61" s="433">
        <f>+D61-C61</f>
        <v>213.29999999999927</v>
      </c>
      <c r="H61" s="434">
        <f>+G61/C61</f>
        <v>3.1804016878643634E-2</v>
      </c>
    </row>
    <row r="62" spans="1:8" ht="12.6" thickBot="1" x14ac:dyDescent="0.3">
      <c r="A62" s="442"/>
      <c r="B62" s="495"/>
      <c r="C62" s="503"/>
      <c r="D62" s="511"/>
      <c r="G62" s="433"/>
      <c r="H62" s="434"/>
    </row>
    <row r="63" spans="1:8" ht="28.5" customHeight="1" x14ac:dyDescent="0.25">
      <c r="A63" s="489" t="s">
        <v>850</v>
      </c>
      <c r="B63" s="494"/>
      <c r="C63" s="502"/>
      <c r="D63" s="510"/>
      <c r="G63" s="433"/>
      <c r="H63" s="434"/>
    </row>
    <row r="64" spans="1:8" ht="12.6" thickBot="1" x14ac:dyDescent="0.3">
      <c r="A64" s="436" t="s">
        <v>841</v>
      </c>
      <c r="B64" s="437" t="s">
        <v>205</v>
      </c>
      <c r="C64" s="498" t="s">
        <v>908</v>
      </c>
      <c r="D64" s="507" t="s">
        <v>909</v>
      </c>
      <c r="G64" s="433"/>
      <c r="H64" s="434"/>
    </row>
    <row r="65" spans="1:8" ht="12.6" thickTop="1" x14ac:dyDescent="0.25">
      <c r="A65" s="443" t="s">
        <v>727</v>
      </c>
      <c r="B65" s="444" t="s">
        <v>5</v>
      </c>
      <c r="C65" s="504">
        <v>123816</v>
      </c>
      <c r="D65" s="508">
        <f t="shared" ref="D65:D66" si="13">+ROUND(C65*F65,1)</f>
        <v>127753.3</v>
      </c>
      <c r="F65" s="430">
        <v>1.0318000000000001</v>
      </c>
      <c r="G65" s="433">
        <f>+D65-C65</f>
        <v>3937.3000000000029</v>
      </c>
      <c r="H65" s="434">
        <f>+G65/C65</f>
        <v>3.1799605866770067E-2</v>
      </c>
    </row>
    <row r="66" spans="1:8" ht="12.6" thickBot="1" x14ac:dyDescent="0.3">
      <c r="A66" s="445" t="s">
        <v>164</v>
      </c>
      <c r="B66" s="446" t="s">
        <v>102</v>
      </c>
      <c r="C66" s="500">
        <v>6706.7000000000007</v>
      </c>
      <c r="D66" s="508">
        <f t="shared" si="13"/>
        <v>6920</v>
      </c>
      <c r="F66" s="430">
        <v>1.0318000000000001</v>
      </c>
      <c r="G66" s="433">
        <f>+D66-C66</f>
        <v>213.29999999999927</v>
      </c>
      <c r="H66" s="434">
        <f>+G66/C66</f>
        <v>3.1804016878643634E-2</v>
      </c>
    </row>
    <row r="67" spans="1:8" ht="12.6" thickBot="1" x14ac:dyDescent="0.3">
      <c r="A67" s="442"/>
      <c r="B67" s="495"/>
      <c r="C67" s="503"/>
      <c r="D67" s="511"/>
      <c r="G67" s="433"/>
      <c r="H67" s="434"/>
    </row>
    <row r="68" spans="1:8" ht="28.5" customHeight="1" x14ac:dyDescent="0.25">
      <c r="A68" s="489" t="s">
        <v>851</v>
      </c>
      <c r="B68" s="494"/>
      <c r="C68" s="502"/>
      <c r="D68" s="510"/>
      <c r="G68" s="433"/>
      <c r="H68" s="434"/>
    </row>
    <row r="69" spans="1:8" ht="12.6" thickBot="1" x14ac:dyDescent="0.3">
      <c r="A69" s="436" t="s">
        <v>841</v>
      </c>
      <c r="B69" s="437" t="s">
        <v>205</v>
      </c>
      <c r="C69" s="498" t="s">
        <v>908</v>
      </c>
      <c r="D69" s="507" t="s">
        <v>909</v>
      </c>
      <c r="G69" s="433"/>
      <c r="H69" s="434"/>
    </row>
    <row r="70" spans="1:8" ht="12.6" thickTop="1" x14ac:dyDescent="0.25">
      <c r="A70" s="447" t="s">
        <v>181</v>
      </c>
      <c r="B70" s="448" t="s">
        <v>113</v>
      </c>
      <c r="C70" s="504">
        <v>15549226.000000002</v>
      </c>
      <c r="D70" s="508">
        <f t="shared" ref="D70:D71" si="14">+ROUND(C70*F70,1)</f>
        <v>16043691.4</v>
      </c>
      <c r="F70" s="430">
        <v>1.0318000000000001</v>
      </c>
      <c r="G70" s="433">
        <f>+D70-C70</f>
        <v>494465.39999999851</v>
      </c>
      <c r="H70" s="434">
        <f>+G70/C70</f>
        <v>3.1800000848916751E-2</v>
      </c>
    </row>
    <row r="71" spans="1:8" ht="12.6" thickBot="1" x14ac:dyDescent="0.3">
      <c r="A71" s="438" t="s">
        <v>182</v>
      </c>
      <c r="B71" s="441" t="s">
        <v>102</v>
      </c>
      <c r="C71" s="500">
        <v>412720</v>
      </c>
      <c r="D71" s="508">
        <f t="shared" si="14"/>
        <v>425844.5</v>
      </c>
      <c r="F71" s="430">
        <v>1.0318000000000001</v>
      </c>
      <c r="G71" s="433">
        <f>+D71-C71</f>
        <v>13124.5</v>
      </c>
      <c r="H71" s="434">
        <f>+G71/C71</f>
        <v>3.1800009691800739E-2</v>
      </c>
    </row>
    <row r="72" spans="1:8" ht="12.6" thickBot="1" x14ac:dyDescent="0.3">
      <c r="A72" s="442"/>
      <c r="B72" s="495"/>
      <c r="C72" s="503"/>
      <c r="D72" s="511"/>
      <c r="G72" s="433"/>
      <c r="H72" s="434"/>
    </row>
    <row r="73" spans="1:8" ht="47.25" customHeight="1" x14ac:dyDescent="0.25">
      <c r="A73" s="489" t="s">
        <v>852</v>
      </c>
      <c r="B73" s="494"/>
      <c r="C73" s="502"/>
      <c r="D73" s="510"/>
      <c r="G73" s="433"/>
      <c r="H73" s="434"/>
    </row>
    <row r="74" spans="1:8" ht="12.6" thickBot="1" x14ac:dyDescent="0.3">
      <c r="A74" s="436" t="s">
        <v>841</v>
      </c>
      <c r="B74" s="437" t="s">
        <v>205</v>
      </c>
      <c r="C74" s="498" t="s">
        <v>908</v>
      </c>
      <c r="D74" s="507" t="s">
        <v>909</v>
      </c>
      <c r="G74" s="433"/>
      <c r="H74" s="434"/>
    </row>
    <row r="75" spans="1:8" ht="24.6" thickTop="1" x14ac:dyDescent="0.25">
      <c r="A75" s="452" t="s">
        <v>434</v>
      </c>
      <c r="B75" s="444" t="s">
        <v>113</v>
      </c>
      <c r="C75" s="504">
        <v>16575867</v>
      </c>
      <c r="D75" s="508">
        <f t="shared" ref="D75:D80" si="15">+ROUND(C75*F75,1)</f>
        <v>17102979.600000001</v>
      </c>
      <c r="F75" s="430">
        <v>1.0318000000000001</v>
      </c>
      <c r="G75" s="433">
        <f t="shared" ref="G75:G80" si="16">+D75-C75</f>
        <v>527112.60000000149</v>
      </c>
      <c r="H75" s="434">
        <f t="shared" ref="H75:H80" si="17">+G75/C75</f>
        <v>3.1800001773662968E-2</v>
      </c>
    </row>
    <row r="76" spans="1:8" x14ac:dyDescent="0.25">
      <c r="A76" s="453" t="s">
        <v>435</v>
      </c>
      <c r="B76" s="444" t="s">
        <v>5</v>
      </c>
      <c r="C76" s="504">
        <v>527638.23947604001</v>
      </c>
      <c r="D76" s="508">
        <f t="shared" si="15"/>
        <v>544417.1</v>
      </c>
      <c r="F76" s="430">
        <v>1.0318000000000001</v>
      </c>
      <c r="G76" s="433">
        <f t="shared" si="16"/>
        <v>16778.860523959971</v>
      </c>
      <c r="H76" s="434">
        <f t="shared" si="17"/>
        <v>3.1799932735394353E-2</v>
      </c>
    </row>
    <row r="77" spans="1:8" x14ac:dyDescent="0.25">
      <c r="A77" s="452" t="s">
        <v>436</v>
      </c>
      <c r="B77" s="444" t="s">
        <v>113</v>
      </c>
      <c r="C77" s="504">
        <v>323746.70046179998</v>
      </c>
      <c r="D77" s="508">
        <f t="shared" si="15"/>
        <v>334041.8</v>
      </c>
      <c r="F77" s="430">
        <v>1.0318000000000001</v>
      </c>
      <c r="G77" s="433">
        <f t="shared" si="16"/>
        <v>10295.099538200011</v>
      </c>
      <c r="H77" s="434">
        <f t="shared" si="17"/>
        <v>3.1799859345330271E-2</v>
      </c>
    </row>
    <row r="78" spans="1:8" x14ac:dyDescent="0.25">
      <c r="A78" s="452" t="s">
        <v>437</v>
      </c>
      <c r="B78" s="444" t="s">
        <v>113</v>
      </c>
      <c r="C78" s="504">
        <v>126743.38911695998</v>
      </c>
      <c r="D78" s="508">
        <f t="shared" si="15"/>
        <v>130773.8</v>
      </c>
      <c r="F78" s="430">
        <v>1.0318000000000001</v>
      </c>
      <c r="G78" s="433">
        <f t="shared" si="16"/>
        <v>4030.4108830400219</v>
      </c>
      <c r="H78" s="434">
        <f t="shared" si="17"/>
        <v>3.1799772052179549E-2</v>
      </c>
    </row>
    <row r="79" spans="1:8" x14ac:dyDescent="0.25">
      <c r="A79" s="452" t="s">
        <v>438</v>
      </c>
      <c r="B79" s="444" t="s">
        <v>113</v>
      </c>
      <c r="C79" s="504">
        <v>622695.78131376009</v>
      </c>
      <c r="D79" s="508">
        <f t="shared" si="15"/>
        <v>642497.5</v>
      </c>
      <c r="F79" s="430">
        <v>1.0318000000000001</v>
      </c>
      <c r="G79" s="433">
        <f t="shared" si="16"/>
        <v>19801.71868623991</v>
      </c>
      <c r="H79" s="434">
        <f t="shared" si="17"/>
        <v>3.1799988502350787E-2</v>
      </c>
    </row>
    <row r="80" spans="1:8" ht="12.6" thickBot="1" x14ac:dyDescent="0.3">
      <c r="A80" s="445" t="s">
        <v>439</v>
      </c>
      <c r="B80" s="446" t="s">
        <v>102</v>
      </c>
      <c r="C80" s="500">
        <v>4127200</v>
      </c>
      <c r="D80" s="508">
        <f t="shared" si="15"/>
        <v>4258445</v>
      </c>
      <c r="F80" s="430">
        <v>1.0318000000000001</v>
      </c>
      <c r="G80" s="433">
        <f t="shared" si="16"/>
        <v>131245</v>
      </c>
      <c r="H80" s="434">
        <f t="shared" si="17"/>
        <v>3.1800009691800739E-2</v>
      </c>
    </row>
    <row r="81" spans="1:8" ht="12.6" thickBot="1" x14ac:dyDescent="0.3">
      <c r="A81" s="442"/>
      <c r="B81" s="495"/>
      <c r="C81" s="503"/>
      <c r="D81" s="511"/>
      <c r="G81" s="433"/>
      <c r="H81" s="434"/>
    </row>
    <row r="82" spans="1:8" ht="39.75" customHeight="1" x14ac:dyDescent="0.25">
      <c r="A82" s="489" t="s">
        <v>853</v>
      </c>
      <c r="B82" s="494"/>
      <c r="C82" s="502"/>
      <c r="D82" s="510"/>
      <c r="G82" s="433"/>
      <c r="H82" s="434"/>
    </row>
    <row r="83" spans="1:8" ht="12.6" thickBot="1" x14ac:dyDescent="0.3">
      <c r="A83" s="436" t="s">
        <v>841</v>
      </c>
      <c r="B83" s="437" t="s">
        <v>205</v>
      </c>
      <c r="C83" s="498" t="s">
        <v>908</v>
      </c>
      <c r="D83" s="507" t="s">
        <v>909</v>
      </c>
      <c r="G83" s="433"/>
      <c r="H83" s="434"/>
    </row>
    <row r="84" spans="1:8" ht="24.6" thickTop="1" x14ac:dyDescent="0.25">
      <c r="A84" s="452" t="s">
        <v>481</v>
      </c>
      <c r="B84" s="444" t="s">
        <v>113</v>
      </c>
      <c r="C84" s="504">
        <v>3069605</v>
      </c>
      <c r="D84" s="508">
        <f t="shared" ref="D84:D85" si="18">+ROUND(C84*F84,1)</f>
        <v>3167218.4</v>
      </c>
      <c r="F84" s="430">
        <v>1.0318000000000001</v>
      </c>
      <c r="G84" s="433">
        <f>+D84-C84</f>
        <v>97613.399999999907</v>
      </c>
      <c r="H84" s="434">
        <f>+G84/C84</f>
        <v>3.17999872947822E-2</v>
      </c>
    </row>
    <row r="85" spans="1:8" ht="12.6" thickBot="1" x14ac:dyDescent="0.3">
      <c r="A85" s="454" t="s">
        <v>441</v>
      </c>
      <c r="B85" s="455" t="s">
        <v>113</v>
      </c>
      <c r="C85" s="500">
        <v>53747.493800000004</v>
      </c>
      <c r="D85" s="508">
        <f t="shared" si="18"/>
        <v>55456.7</v>
      </c>
      <c r="F85" s="430">
        <v>1.0318000000000001</v>
      </c>
      <c r="G85" s="433">
        <f>+D85-C85</f>
        <v>1709.2061999999933</v>
      </c>
      <c r="H85" s="434">
        <f>+G85/C85</f>
        <v>3.1800667885280881E-2</v>
      </c>
    </row>
    <row r="86" spans="1:8" x14ac:dyDescent="0.25">
      <c r="A86" s="442"/>
      <c r="B86" s="495"/>
      <c r="C86" s="503"/>
      <c r="D86" s="511"/>
      <c r="G86" s="433"/>
      <c r="H86" s="434"/>
    </row>
    <row r="87" spans="1:8" ht="12.6" thickBot="1" x14ac:dyDescent="0.3">
      <c r="A87" s="442"/>
      <c r="B87" s="495"/>
      <c r="C87" s="503"/>
      <c r="D87" s="511"/>
      <c r="G87" s="433"/>
      <c r="H87" s="434"/>
    </row>
    <row r="88" spans="1:8" ht="43.5" customHeight="1" x14ac:dyDescent="0.25">
      <c r="A88" s="489" t="s">
        <v>854</v>
      </c>
      <c r="B88" s="494"/>
      <c r="C88" s="502"/>
      <c r="D88" s="510"/>
      <c r="G88" s="433"/>
      <c r="H88" s="434"/>
    </row>
    <row r="89" spans="1:8" ht="12.6" thickBot="1" x14ac:dyDescent="0.3">
      <c r="A89" s="436" t="s">
        <v>841</v>
      </c>
      <c r="B89" s="437" t="s">
        <v>205</v>
      </c>
      <c r="C89" s="498" t="s">
        <v>908</v>
      </c>
      <c r="D89" s="507" t="s">
        <v>909</v>
      </c>
      <c r="G89" s="433"/>
      <c r="H89" s="434"/>
    </row>
    <row r="90" spans="1:8" ht="12.6" thickTop="1" x14ac:dyDescent="0.25">
      <c r="A90" s="447" t="s">
        <v>508</v>
      </c>
      <c r="B90" s="448" t="s">
        <v>36</v>
      </c>
      <c r="C90" s="504">
        <v>687591.52</v>
      </c>
      <c r="D90" s="508">
        <f t="shared" ref="D90:D108" si="19">+ROUND(C90*F90,1)</f>
        <v>709456.9</v>
      </c>
      <c r="F90" s="430">
        <v>1.0318000000000001</v>
      </c>
      <c r="G90" s="433">
        <f t="shared" ref="G90:G108" si="20">+D90-C90</f>
        <v>21865.380000000005</v>
      </c>
      <c r="H90" s="434">
        <f t="shared" ref="H90:H108" si="21">+G90/C90</f>
        <v>3.179995588078225E-2</v>
      </c>
    </row>
    <row r="91" spans="1:8" x14ac:dyDescent="0.25">
      <c r="A91" s="447" t="s">
        <v>510</v>
      </c>
      <c r="B91" s="448" t="s">
        <v>36</v>
      </c>
      <c r="C91" s="504">
        <v>165088</v>
      </c>
      <c r="D91" s="508">
        <f t="shared" si="19"/>
        <v>170337.8</v>
      </c>
      <c r="F91" s="430">
        <v>1.0318000000000001</v>
      </c>
      <c r="G91" s="433">
        <f t="shared" si="20"/>
        <v>5249.7999999999884</v>
      </c>
      <c r="H91" s="434">
        <f t="shared" si="21"/>
        <v>3.1800009691800669E-2</v>
      </c>
    </row>
    <row r="92" spans="1:8" x14ac:dyDescent="0.25">
      <c r="A92" s="447" t="s">
        <v>511</v>
      </c>
      <c r="B92" s="448" t="s">
        <v>36</v>
      </c>
      <c r="C92" s="504">
        <v>25795</v>
      </c>
      <c r="D92" s="508">
        <f t="shared" si="19"/>
        <v>26615.3</v>
      </c>
      <c r="F92" s="430">
        <v>1.0318000000000001</v>
      </c>
      <c r="G92" s="433">
        <f t="shared" si="20"/>
        <v>820.29999999999927</v>
      </c>
      <c r="H92" s="434">
        <f t="shared" si="21"/>
        <v>3.1800736576855955E-2</v>
      </c>
    </row>
    <row r="93" spans="1:8" x14ac:dyDescent="0.25">
      <c r="A93" s="447" t="s">
        <v>193</v>
      </c>
      <c r="B93" s="448" t="s">
        <v>5</v>
      </c>
      <c r="C93" s="504">
        <v>21126.105</v>
      </c>
      <c r="D93" s="508">
        <f t="shared" si="19"/>
        <v>21797.9</v>
      </c>
      <c r="F93" s="430">
        <v>1.0318000000000001</v>
      </c>
      <c r="G93" s="433">
        <f t="shared" si="20"/>
        <v>671.79500000000189</v>
      </c>
      <c r="H93" s="434">
        <f t="shared" si="21"/>
        <v>3.1799283398430613E-2</v>
      </c>
    </row>
    <row r="94" spans="1:8" x14ac:dyDescent="0.25">
      <c r="A94" s="447" t="s">
        <v>45</v>
      </c>
      <c r="B94" s="448" t="s">
        <v>5</v>
      </c>
      <c r="C94" s="504">
        <v>39904.865000000005</v>
      </c>
      <c r="D94" s="508">
        <f t="shared" si="19"/>
        <v>41173.800000000003</v>
      </c>
      <c r="F94" s="430">
        <v>1.0318000000000001</v>
      </c>
      <c r="G94" s="433">
        <f t="shared" si="20"/>
        <v>1268.9349999999977</v>
      </c>
      <c r="H94" s="434">
        <f t="shared" si="21"/>
        <v>3.1799004958417913E-2</v>
      </c>
    </row>
    <row r="95" spans="1:8" x14ac:dyDescent="0.25">
      <c r="A95" s="447" t="s">
        <v>46</v>
      </c>
      <c r="B95" s="448" t="s">
        <v>5</v>
      </c>
      <c r="C95" s="504">
        <v>17370.352999999999</v>
      </c>
      <c r="D95" s="508">
        <f t="shared" si="19"/>
        <v>17922.7</v>
      </c>
      <c r="F95" s="430">
        <v>1.0318000000000001</v>
      </c>
      <c r="G95" s="433">
        <f t="shared" si="20"/>
        <v>552.34700000000157</v>
      </c>
      <c r="H95" s="434">
        <f t="shared" si="21"/>
        <v>3.1798259943249377E-2</v>
      </c>
    </row>
    <row r="96" spans="1:8" x14ac:dyDescent="0.25">
      <c r="A96" s="447" t="s">
        <v>512</v>
      </c>
      <c r="B96" s="448" t="s">
        <v>36</v>
      </c>
      <c r="C96" s="504">
        <v>61392.100000000006</v>
      </c>
      <c r="D96" s="508">
        <f t="shared" si="19"/>
        <v>63344.4</v>
      </c>
      <c r="F96" s="430">
        <v>1.0318000000000001</v>
      </c>
      <c r="G96" s="433">
        <f t="shared" si="20"/>
        <v>1952.2999999999956</v>
      </c>
      <c r="H96" s="434">
        <f t="shared" si="21"/>
        <v>3.1800508534485634E-2</v>
      </c>
    </row>
    <row r="97" spans="1:8" x14ac:dyDescent="0.25">
      <c r="A97" s="447" t="s">
        <v>47</v>
      </c>
      <c r="B97" s="448" t="s">
        <v>5</v>
      </c>
      <c r="C97" s="504">
        <v>61786.815090000004</v>
      </c>
      <c r="D97" s="508">
        <f t="shared" si="19"/>
        <v>63751.6</v>
      </c>
      <c r="F97" s="430">
        <v>1.0318000000000001</v>
      </c>
      <c r="G97" s="433">
        <f t="shared" si="20"/>
        <v>1964.7849099999949</v>
      </c>
      <c r="H97" s="434">
        <f t="shared" si="21"/>
        <v>3.1799420428744334E-2</v>
      </c>
    </row>
    <row r="98" spans="1:8" x14ac:dyDescent="0.25">
      <c r="A98" s="447" t="s">
        <v>75</v>
      </c>
      <c r="B98" s="448" t="s">
        <v>48</v>
      </c>
      <c r="C98" s="504">
        <v>32862.83</v>
      </c>
      <c r="D98" s="508">
        <f t="shared" si="19"/>
        <v>33907.9</v>
      </c>
      <c r="F98" s="430">
        <v>1.0318000000000001</v>
      </c>
      <c r="G98" s="433">
        <f t="shared" si="20"/>
        <v>1045.0699999999997</v>
      </c>
      <c r="H98" s="434">
        <f t="shared" si="21"/>
        <v>3.1800973927078091E-2</v>
      </c>
    </row>
    <row r="99" spans="1:8" x14ac:dyDescent="0.25">
      <c r="A99" s="447" t="s">
        <v>59</v>
      </c>
      <c r="B99" s="448" t="s">
        <v>5</v>
      </c>
      <c r="C99" s="504">
        <v>61453.492100000003</v>
      </c>
      <c r="D99" s="508">
        <f t="shared" si="19"/>
        <v>63407.7</v>
      </c>
      <c r="F99" s="430">
        <v>1.0318000000000001</v>
      </c>
      <c r="G99" s="433">
        <f t="shared" si="20"/>
        <v>1954.207899999994</v>
      </c>
      <c r="H99" s="434">
        <f t="shared" si="21"/>
        <v>3.1799786036894623E-2</v>
      </c>
    </row>
    <row r="100" spans="1:8" x14ac:dyDescent="0.25">
      <c r="A100" s="447" t="s">
        <v>68</v>
      </c>
      <c r="B100" s="448" t="s">
        <v>69</v>
      </c>
      <c r="C100" s="504">
        <v>111312.97777600001</v>
      </c>
      <c r="D100" s="508">
        <f t="shared" si="19"/>
        <v>114852.7</v>
      </c>
      <c r="F100" s="430">
        <v>1.0318000000000001</v>
      </c>
      <c r="G100" s="433">
        <f t="shared" si="20"/>
        <v>3539.7222239999828</v>
      </c>
      <c r="H100" s="434">
        <f t="shared" si="21"/>
        <v>3.1799726273814374E-2</v>
      </c>
    </row>
    <row r="101" spans="1:8" x14ac:dyDescent="0.25">
      <c r="A101" s="447" t="s">
        <v>513</v>
      </c>
      <c r="B101" s="448" t="s">
        <v>36</v>
      </c>
      <c r="C101" s="504">
        <v>7367.0520000000006</v>
      </c>
      <c r="D101" s="508">
        <f t="shared" si="19"/>
        <v>7601.3</v>
      </c>
      <c r="F101" s="430">
        <v>1.0318000000000001</v>
      </c>
      <c r="G101" s="433">
        <f t="shared" si="20"/>
        <v>234.24799999999959</v>
      </c>
      <c r="H101" s="434">
        <f t="shared" si="21"/>
        <v>3.1796707828314445E-2</v>
      </c>
    </row>
    <row r="102" spans="1:8" x14ac:dyDescent="0.25">
      <c r="A102" s="447" t="s">
        <v>194</v>
      </c>
      <c r="B102" s="448" t="s">
        <v>36</v>
      </c>
      <c r="C102" s="504">
        <v>210881.84049483141</v>
      </c>
      <c r="D102" s="508">
        <f t="shared" si="19"/>
        <v>217587.9</v>
      </c>
      <c r="F102" s="430">
        <v>1.0318000000000001</v>
      </c>
      <c r="G102" s="433">
        <f t="shared" si="20"/>
        <v>6706.0595051685814</v>
      </c>
      <c r="H102" s="434">
        <f t="shared" si="21"/>
        <v>3.1800080506851146E-2</v>
      </c>
    </row>
    <row r="103" spans="1:8" x14ac:dyDescent="0.25">
      <c r="A103" s="447" t="s">
        <v>76</v>
      </c>
      <c r="B103" s="448" t="s">
        <v>36</v>
      </c>
      <c r="C103" s="504">
        <v>93525.618322209921</v>
      </c>
      <c r="D103" s="508">
        <f t="shared" si="19"/>
        <v>96499.7</v>
      </c>
      <c r="F103" s="430">
        <v>1.0318000000000001</v>
      </c>
      <c r="G103" s="433">
        <f t="shared" si="20"/>
        <v>2974.0816777900764</v>
      </c>
      <c r="H103" s="434">
        <f t="shared" si="21"/>
        <v>3.1799647317421784E-2</v>
      </c>
    </row>
    <row r="104" spans="1:8" x14ac:dyDescent="0.25">
      <c r="A104" s="447" t="s">
        <v>60</v>
      </c>
      <c r="B104" s="448" t="s">
        <v>36</v>
      </c>
      <c r="C104" s="504">
        <v>146335.43530840866</v>
      </c>
      <c r="D104" s="508">
        <f t="shared" si="19"/>
        <v>150988.9</v>
      </c>
      <c r="F104" s="430">
        <v>1.0318000000000001</v>
      </c>
      <c r="G104" s="433">
        <f t="shared" si="20"/>
        <v>4653.4646915913327</v>
      </c>
      <c r="H104" s="434">
        <f t="shared" si="21"/>
        <v>3.1799985299418021E-2</v>
      </c>
    </row>
    <row r="105" spans="1:8" x14ac:dyDescent="0.25">
      <c r="A105" s="447" t="s">
        <v>53</v>
      </c>
      <c r="B105" s="448" t="s">
        <v>36</v>
      </c>
      <c r="C105" s="504">
        <v>125827.76545881468</v>
      </c>
      <c r="D105" s="508">
        <f t="shared" si="19"/>
        <v>129829.1</v>
      </c>
      <c r="F105" s="430">
        <v>1.0318000000000001</v>
      </c>
      <c r="G105" s="433">
        <f t="shared" si="20"/>
        <v>4001.3345411853225</v>
      </c>
      <c r="H105" s="434">
        <f t="shared" si="21"/>
        <v>3.1800092186291103E-2</v>
      </c>
    </row>
    <row r="106" spans="1:8" x14ac:dyDescent="0.25">
      <c r="A106" s="447" t="s">
        <v>54</v>
      </c>
      <c r="B106" s="448" t="s">
        <v>36</v>
      </c>
      <c r="C106" s="504">
        <v>146335.43530840866</v>
      </c>
      <c r="D106" s="508">
        <f t="shared" si="19"/>
        <v>150988.9</v>
      </c>
      <c r="F106" s="430">
        <v>1.0318000000000001</v>
      </c>
      <c r="G106" s="433">
        <f t="shared" si="20"/>
        <v>4653.4646915913327</v>
      </c>
      <c r="H106" s="434">
        <f t="shared" si="21"/>
        <v>3.1799985299418021E-2</v>
      </c>
    </row>
    <row r="107" spans="1:8" x14ac:dyDescent="0.25">
      <c r="A107" s="447" t="s">
        <v>55</v>
      </c>
      <c r="B107" s="448" t="s">
        <v>36</v>
      </c>
      <c r="C107" s="504">
        <v>146335.43530840866</v>
      </c>
      <c r="D107" s="508">
        <f t="shared" si="19"/>
        <v>150988.9</v>
      </c>
      <c r="F107" s="430">
        <v>1.0318000000000001</v>
      </c>
      <c r="G107" s="433">
        <f t="shared" si="20"/>
        <v>4653.4646915913327</v>
      </c>
      <c r="H107" s="434">
        <f t="shared" si="21"/>
        <v>3.1799985299418021E-2</v>
      </c>
    </row>
    <row r="108" spans="1:8" ht="12.6" thickBot="1" x14ac:dyDescent="0.3">
      <c r="A108" s="438" t="s">
        <v>77</v>
      </c>
      <c r="B108" s="441" t="s">
        <v>36</v>
      </c>
      <c r="C108" s="500">
        <v>141797.90243062866</v>
      </c>
      <c r="D108" s="508">
        <f t="shared" si="19"/>
        <v>146307.1</v>
      </c>
      <c r="F108" s="430">
        <v>1.0318000000000001</v>
      </c>
      <c r="G108" s="433">
        <f t="shared" si="20"/>
        <v>4509.1975693713466</v>
      </c>
      <c r="H108" s="434">
        <f t="shared" si="21"/>
        <v>3.180017117374051E-2</v>
      </c>
    </row>
    <row r="109" spans="1:8" ht="12.6" thickBot="1" x14ac:dyDescent="0.3">
      <c r="A109" s="442"/>
      <c r="B109" s="495"/>
      <c r="C109" s="503"/>
      <c r="D109" s="511"/>
      <c r="G109" s="433"/>
      <c r="H109" s="434"/>
    </row>
    <row r="110" spans="1:8" ht="21.75" customHeight="1" x14ac:dyDescent="0.25">
      <c r="A110" s="489" t="s">
        <v>855</v>
      </c>
      <c r="B110" s="494"/>
      <c r="C110" s="502"/>
      <c r="D110" s="510"/>
      <c r="G110" s="433"/>
      <c r="H110" s="434"/>
    </row>
    <row r="111" spans="1:8" ht="12.6" thickBot="1" x14ac:dyDescent="0.3">
      <c r="A111" s="436" t="s">
        <v>841</v>
      </c>
      <c r="B111" s="437" t="s">
        <v>205</v>
      </c>
      <c r="C111" s="498" t="s">
        <v>908</v>
      </c>
      <c r="D111" s="507" t="s">
        <v>909</v>
      </c>
      <c r="G111" s="433"/>
      <c r="H111" s="434"/>
    </row>
    <row r="112" spans="1:8" ht="12.6" thickTop="1" x14ac:dyDescent="0.25">
      <c r="A112" s="456" t="s">
        <v>91</v>
      </c>
      <c r="B112" s="448" t="s">
        <v>25</v>
      </c>
      <c r="C112" s="504">
        <v>803937.83278746449</v>
      </c>
      <c r="D112" s="508">
        <f t="shared" ref="D112:D114" si="22">+ROUND(C112*F112,1)</f>
        <v>829503.1</v>
      </c>
      <c r="F112" s="430">
        <v>1.0318000000000001</v>
      </c>
      <c r="G112" s="433">
        <f>+D112-C112</f>
        <v>25565.267212535487</v>
      </c>
      <c r="H112" s="434">
        <f>+G112/C112</f>
        <v>3.18000548921724E-2</v>
      </c>
    </row>
    <row r="113" spans="1:8" x14ac:dyDescent="0.25">
      <c r="A113" s="452" t="s">
        <v>92</v>
      </c>
      <c r="B113" s="457" t="s">
        <v>25</v>
      </c>
      <c r="C113" s="504">
        <v>72226</v>
      </c>
      <c r="D113" s="508">
        <f t="shared" si="22"/>
        <v>74522.8</v>
      </c>
      <c r="F113" s="430">
        <v>1.0318000000000001</v>
      </c>
      <c r="G113" s="433">
        <f>+D113-C113</f>
        <v>2296.8000000000029</v>
      </c>
      <c r="H113" s="434">
        <f>+G113/C113</f>
        <v>3.1800182759671072E-2</v>
      </c>
    </row>
    <row r="114" spans="1:8" x14ac:dyDescent="0.25">
      <c r="A114" s="452" t="s">
        <v>93</v>
      </c>
      <c r="B114" s="457" t="s">
        <v>25</v>
      </c>
      <c r="C114" s="504">
        <v>51590</v>
      </c>
      <c r="D114" s="508">
        <f t="shared" si="22"/>
        <v>53230.6</v>
      </c>
      <c r="F114" s="430">
        <v>1.0318000000000001</v>
      </c>
      <c r="G114" s="433">
        <f>+D114-C114</f>
        <v>1640.5999999999985</v>
      </c>
      <c r="H114" s="434">
        <f>+G114/C114</f>
        <v>3.1800736576855955E-2</v>
      </c>
    </row>
    <row r="115" spans="1:8" ht="12.6" thickBot="1" x14ac:dyDescent="0.3">
      <c r="A115" s="442"/>
      <c r="B115" s="495"/>
      <c r="C115" s="503"/>
      <c r="D115" s="511"/>
      <c r="G115" s="433"/>
      <c r="H115" s="434"/>
    </row>
    <row r="116" spans="1:8" ht="38.25" customHeight="1" x14ac:dyDescent="0.25">
      <c r="A116" s="489" t="s">
        <v>856</v>
      </c>
      <c r="B116" s="494"/>
      <c r="C116" s="502"/>
      <c r="D116" s="510"/>
      <c r="G116" s="433"/>
      <c r="H116" s="434"/>
    </row>
    <row r="117" spans="1:8" ht="12.6" thickBot="1" x14ac:dyDescent="0.3">
      <c r="A117" s="436" t="s">
        <v>841</v>
      </c>
      <c r="B117" s="437" t="s">
        <v>205</v>
      </c>
      <c r="C117" s="498" t="s">
        <v>908</v>
      </c>
      <c r="D117" s="507" t="s">
        <v>909</v>
      </c>
      <c r="G117" s="433"/>
      <c r="H117" s="434"/>
    </row>
    <row r="118" spans="1:8" ht="12.6" thickTop="1" x14ac:dyDescent="0.25">
      <c r="A118" s="447" t="s">
        <v>63</v>
      </c>
      <c r="B118" s="448" t="s">
        <v>36</v>
      </c>
      <c r="C118" s="504">
        <v>396440.48888888891</v>
      </c>
      <c r="D118" s="508">
        <f t="shared" ref="D118:D136" si="23">+ROUND(C118*F118,1)</f>
        <v>409047.3</v>
      </c>
      <c r="F118" s="430">
        <v>1.0318000000000001</v>
      </c>
      <c r="G118" s="433">
        <f>+D118-C118</f>
        <v>12606.811111111077</v>
      </c>
      <c r="H118" s="434">
        <f>+G118/C118</f>
        <v>3.1800008991121016E-2</v>
      </c>
    </row>
    <row r="119" spans="1:8" x14ac:dyDescent="0.25">
      <c r="A119" s="447" t="s">
        <v>64</v>
      </c>
      <c r="B119" s="448" t="s">
        <v>36</v>
      </c>
      <c r="C119" s="504">
        <v>64682.395555555559</v>
      </c>
      <c r="D119" s="508">
        <f t="shared" si="23"/>
        <v>66739.3</v>
      </c>
      <c r="F119" s="430">
        <v>1.0318000000000001</v>
      </c>
      <c r="G119" s="433">
        <f>+D119-C119</f>
        <v>2056.9044444444444</v>
      </c>
      <c r="H119" s="434">
        <f>+G119/C119</f>
        <v>3.1800065949594801E-2</v>
      </c>
    </row>
    <row r="120" spans="1:8" x14ac:dyDescent="0.25">
      <c r="A120" s="447" t="s">
        <v>65</v>
      </c>
      <c r="B120" s="448" t="s">
        <v>36</v>
      </c>
      <c r="C120" s="504">
        <v>772015.68888888892</v>
      </c>
      <c r="D120" s="508">
        <f t="shared" si="23"/>
        <v>796565.8</v>
      </c>
      <c r="F120" s="430">
        <v>1.0318000000000001</v>
      </c>
      <c r="G120" s="433">
        <f>+D120-C120</f>
        <v>24550.111111111124</v>
      </c>
      <c r="H120" s="434">
        <f>+G120/C120</f>
        <v>3.1800015808544607E-2</v>
      </c>
    </row>
    <row r="121" spans="1:8" x14ac:dyDescent="0.25">
      <c r="A121" s="447" t="s">
        <v>57</v>
      </c>
      <c r="B121" s="448" t="s">
        <v>36</v>
      </c>
      <c r="C121" s="504">
        <v>744890.81333333335</v>
      </c>
      <c r="D121" s="508">
        <f t="shared" si="23"/>
        <v>768578.3</v>
      </c>
      <c r="F121" s="430">
        <v>1.0318000000000001</v>
      </c>
      <c r="G121" s="433">
        <f>+D121-C121</f>
        <v>23687.486666666693</v>
      </c>
      <c r="H121" s="434">
        <f>+G121/C121</f>
        <v>3.1799944693460341E-2</v>
      </c>
    </row>
    <row r="122" spans="1:8" x14ac:dyDescent="0.25">
      <c r="A122" s="447"/>
      <c r="B122" s="448"/>
      <c r="C122" s="504"/>
      <c r="D122" s="508">
        <f t="shared" si="23"/>
        <v>0</v>
      </c>
      <c r="G122" s="433"/>
      <c r="H122" s="434"/>
    </row>
    <row r="123" spans="1:8" x14ac:dyDescent="0.25">
      <c r="A123" s="447" t="s">
        <v>304</v>
      </c>
      <c r="B123" s="448" t="s">
        <v>289</v>
      </c>
      <c r="C123" s="504">
        <v>0</v>
      </c>
      <c r="D123" s="508">
        <f t="shared" si="23"/>
        <v>0</v>
      </c>
      <c r="G123" s="433"/>
      <c r="H123" s="434"/>
    </row>
    <row r="124" spans="1:8" x14ac:dyDescent="0.25">
      <c r="A124" s="447" t="s">
        <v>66</v>
      </c>
      <c r="B124" s="448" t="s">
        <v>5</v>
      </c>
      <c r="C124" s="504">
        <v>51641.590000000004</v>
      </c>
      <c r="D124" s="508">
        <f t="shared" si="23"/>
        <v>53283.8</v>
      </c>
      <c r="F124" s="430">
        <v>1.0318000000000001</v>
      </c>
      <c r="G124" s="433">
        <f>+D124-C124</f>
        <v>1642.2099999999991</v>
      </c>
      <c r="H124" s="434">
        <f>+G124/C124</f>
        <v>3.1800144031196541E-2</v>
      </c>
    </row>
    <row r="125" spans="1:8" x14ac:dyDescent="0.25">
      <c r="A125" s="447" t="s">
        <v>67</v>
      </c>
      <c r="B125" s="448" t="s">
        <v>5</v>
      </c>
      <c r="C125" s="504">
        <v>21126.105</v>
      </c>
      <c r="D125" s="508">
        <f t="shared" si="23"/>
        <v>21797.9</v>
      </c>
      <c r="F125" s="430">
        <v>1.0318000000000001</v>
      </c>
      <c r="G125" s="433">
        <f>+D125-C125</f>
        <v>671.79500000000189</v>
      </c>
      <c r="H125" s="434">
        <f>+G125/C125</f>
        <v>3.1799283398430613E-2</v>
      </c>
    </row>
    <row r="126" spans="1:8" x14ac:dyDescent="0.25">
      <c r="A126" s="447" t="s">
        <v>47</v>
      </c>
      <c r="B126" s="448" t="s">
        <v>5</v>
      </c>
      <c r="C126" s="504">
        <v>61786.815090000004</v>
      </c>
      <c r="D126" s="508">
        <f t="shared" si="23"/>
        <v>63751.6</v>
      </c>
      <c r="F126" s="430">
        <v>1.0318000000000001</v>
      </c>
      <c r="G126" s="433">
        <f>+D126-C126</f>
        <v>1964.7849099999949</v>
      </c>
      <c r="H126" s="434">
        <f>+G126/C126</f>
        <v>3.1799420428744334E-2</v>
      </c>
    </row>
    <row r="127" spans="1:8" x14ac:dyDescent="0.25">
      <c r="A127" s="447" t="s">
        <v>59</v>
      </c>
      <c r="B127" s="448" t="s">
        <v>5</v>
      </c>
      <c r="C127" s="504">
        <v>61453.492100000003</v>
      </c>
      <c r="D127" s="508">
        <f t="shared" si="23"/>
        <v>63407.7</v>
      </c>
      <c r="F127" s="430">
        <v>1.0318000000000001</v>
      </c>
      <c r="G127" s="433">
        <f>+D127-C127</f>
        <v>1954.207899999994</v>
      </c>
      <c r="H127" s="434">
        <f>+G127/C127</f>
        <v>3.1799786036894623E-2</v>
      </c>
    </row>
    <row r="128" spans="1:8" x14ac:dyDescent="0.25">
      <c r="A128" s="447" t="s">
        <v>68</v>
      </c>
      <c r="B128" s="448" t="s">
        <v>69</v>
      </c>
      <c r="C128" s="504">
        <v>111312.97777600001</v>
      </c>
      <c r="D128" s="508">
        <f t="shared" si="23"/>
        <v>114852.7</v>
      </c>
      <c r="F128" s="430">
        <v>1.0318000000000001</v>
      </c>
      <c r="G128" s="433">
        <f>+D128-C128</f>
        <v>3539.7222239999828</v>
      </c>
      <c r="H128" s="434">
        <f>+G128/C128</f>
        <v>3.1799726273814374E-2</v>
      </c>
    </row>
    <row r="129" spans="1:8" x14ac:dyDescent="0.25">
      <c r="A129" s="447"/>
      <c r="B129" s="448"/>
      <c r="C129" s="504"/>
      <c r="D129" s="508">
        <f t="shared" si="23"/>
        <v>0</v>
      </c>
      <c r="G129" s="433"/>
      <c r="H129" s="434"/>
    </row>
    <row r="130" spans="1:8" x14ac:dyDescent="0.25">
      <c r="A130" s="447" t="s">
        <v>70</v>
      </c>
      <c r="B130" s="448" t="s">
        <v>36</v>
      </c>
      <c r="C130" s="504">
        <v>106475.5692</v>
      </c>
      <c r="D130" s="508">
        <f t="shared" si="23"/>
        <v>109861.5</v>
      </c>
      <c r="F130" s="430">
        <v>1.0318000000000001</v>
      </c>
      <c r="G130" s="433">
        <f t="shared" ref="G130:G136" si="24">+D130-C130</f>
        <v>3385.9308000000019</v>
      </c>
      <c r="H130" s="434">
        <f t="shared" ref="H130:H136" si="25">+G130/C130</f>
        <v>3.1800072311799411E-2</v>
      </c>
    </row>
    <row r="131" spans="1:8" x14ac:dyDescent="0.25">
      <c r="A131" s="447" t="s">
        <v>50</v>
      </c>
      <c r="B131" s="448" t="s">
        <v>36</v>
      </c>
      <c r="C131" s="504">
        <v>168586.31789999999</v>
      </c>
      <c r="D131" s="508">
        <f t="shared" si="23"/>
        <v>173947.4</v>
      </c>
      <c r="F131" s="430">
        <v>1.0318000000000001</v>
      </c>
      <c r="G131" s="433">
        <f t="shared" si="24"/>
        <v>5361.0820999999996</v>
      </c>
      <c r="H131" s="434">
        <f t="shared" si="25"/>
        <v>3.1800220603786018E-2</v>
      </c>
    </row>
    <row r="132" spans="1:8" x14ac:dyDescent="0.25">
      <c r="A132" s="447" t="s">
        <v>51</v>
      </c>
      <c r="B132" s="448" t="s">
        <v>36</v>
      </c>
      <c r="C132" s="504">
        <v>72758.305619999999</v>
      </c>
      <c r="D132" s="508">
        <f t="shared" si="23"/>
        <v>75072</v>
      </c>
      <c r="F132" s="430">
        <v>1.0318000000000001</v>
      </c>
      <c r="G132" s="433">
        <f t="shared" si="24"/>
        <v>2313.6943800000008</v>
      </c>
      <c r="H132" s="434">
        <f t="shared" si="25"/>
        <v>3.1799728708415749E-2</v>
      </c>
    </row>
    <row r="133" spans="1:8" x14ac:dyDescent="0.25">
      <c r="A133" s="447" t="s">
        <v>60</v>
      </c>
      <c r="B133" s="448" t="s">
        <v>36</v>
      </c>
      <c r="C133" s="504">
        <v>72758.305619999999</v>
      </c>
      <c r="D133" s="508">
        <f t="shared" si="23"/>
        <v>75072</v>
      </c>
      <c r="F133" s="430">
        <v>1.0318000000000001</v>
      </c>
      <c r="G133" s="433">
        <f t="shared" si="24"/>
        <v>2313.6943800000008</v>
      </c>
      <c r="H133" s="434">
        <f t="shared" si="25"/>
        <v>3.1799728708415749E-2</v>
      </c>
    </row>
    <row r="134" spans="1:8" x14ac:dyDescent="0.25">
      <c r="A134" s="447" t="s">
        <v>71</v>
      </c>
      <c r="B134" s="448" t="s">
        <v>36</v>
      </c>
      <c r="C134" s="504">
        <v>106475.5692</v>
      </c>
      <c r="D134" s="508">
        <f t="shared" si="23"/>
        <v>109861.5</v>
      </c>
      <c r="F134" s="430">
        <v>1.0318000000000001</v>
      </c>
      <c r="G134" s="433">
        <f t="shared" si="24"/>
        <v>3385.9308000000019</v>
      </c>
      <c r="H134" s="434">
        <f t="shared" si="25"/>
        <v>3.1800072311799411E-2</v>
      </c>
    </row>
    <row r="135" spans="1:8" x14ac:dyDescent="0.25">
      <c r="A135" s="447" t="s">
        <v>52</v>
      </c>
      <c r="B135" s="448" t="s">
        <v>36</v>
      </c>
      <c r="C135" s="504">
        <v>72758.305619999999</v>
      </c>
      <c r="D135" s="508">
        <f t="shared" si="23"/>
        <v>75072</v>
      </c>
      <c r="F135" s="430">
        <v>1.0318000000000001</v>
      </c>
      <c r="G135" s="433">
        <f t="shared" si="24"/>
        <v>2313.6943800000008</v>
      </c>
      <c r="H135" s="434">
        <f t="shared" si="25"/>
        <v>3.1799728708415749E-2</v>
      </c>
    </row>
    <row r="136" spans="1:8" ht="12.6" thickBot="1" x14ac:dyDescent="0.3">
      <c r="A136" s="438" t="s">
        <v>61</v>
      </c>
      <c r="B136" s="441" t="s">
        <v>36</v>
      </c>
      <c r="C136" s="500">
        <v>72758.305619999999</v>
      </c>
      <c r="D136" s="508">
        <f t="shared" si="23"/>
        <v>75072</v>
      </c>
      <c r="F136" s="430">
        <v>1.0318000000000001</v>
      </c>
      <c r="G136" s="433">
        <f t="shared" si="24"/>
        <v>2313.6943800000008</v>
      </c>
      <c r="H136" s="434">
        <f t="shared" si="25"/>
        <v>3.1799728708415749E-2</v>
      </c>
    </row>
    <row r="137" spans="1:8" ht="12.6" thickBot="1" x14ac:dyDescent="0.3">
      <c r="A137" s="442"/>
      <c r="B137" s="495"/>
      <c r="C137" s="503"/>
      <c r="D137" s="511"/>
      <c r="G137" s="433"/>
      <c r="H137" s="434"/>
    </row>
    <row r="138" spans="1:8" ht="32.25" customHeight="1" x14ac:dyDescent="0.25">
      <c r="A138" s="489" t="s">
        <v>857</v>
      </c>
      <c r="B138" s="494"/>
      <c r="C138" s="502"/>
      <c r="D138" s="510"/>
      <c r="G138" s="433"/>
      <c r="H138" s="434"/>
    </row>
    <row r="139" spans="1:8" ht="12.6" thickBot="1" x14ac:dyDescent="0.3">
      <c r="A139" s="436" t="s">
        <v>841</v>
      </c>
      <c r="B139" s="437" t="s">
        <v>205</v>
      </c>
      <c r="C139" s="498" t="s">
        <v>908</v>
      </c>
      <c r="D139" s="507" t="s">
        <v>909</v>
      </c>
      <c r="G139" s="433"/>
      <c r="H139" s="434"/>
    </row>
    <row r="140" spans="1:8" ht="12.6" thickTop="1" x14ac:dyDescent="0.25">
      <c r="A140" s="447" t="s">
        <v>57</v>
      </c>
      <c r="B140" s="448" t="s">
        <v>36</v>
      </c>
      <c r="C140" s="504">
        <v>396440.48888888891</v>
      </c>
      <c r="D140" s="508">
        <f t="shared" ref="D140:D164" si="26">+ROUND(C140*F140,1)</f>
        <v>409047.3</v>
      </c>
      <c r="F140" s="430">
        <v>1.0318000000000001</v>
      </c>
      <c r="G140" s="433">
        <f>+D140-C140</f>
        <v>12606.811111111077</v>
      </c>
      <c r="H140" s="434">
        <f>+G140/C140</f>
        <v>3.1800008991121016E-2</v>
      </c>
    </row>
    <row r="141" spans="1:8" x14ac:dyDescent="0.25">
      <c r="A141" s="447" t="s">
        <v>83</v>
      </c>
      <c r="B141" s="448" t="s">
        <v>36</v>
      </c>
      <c r="C141" s="504">
        <v>64682.395555555559</v>
      </c>
      <c r="D141" s="508">
        <f t="shared" si="26"/>
        <v>66739.3</v>
      </c>
      <c r="F141" s="430">
        <v>1.0318000000000001</v>
      </c>
      <c r="G141" s="433">
        <f>+D141-C141</f>
        <v>2056.9044444444444</v>
      </c>
      <c r="H141" s="434">
        <f>+G141/C141</f>
        <v>3.1800065949594801E-2</v>
      </c>
    </row>
    <row r="142" spans="1:8" x14ac:dyDescent="0.25">
      <c r="A142" s="447" t="s">
        <v>84</v>
      </c>
      <c r="B142" s="448" t="s">
        <v>36</v>
      </c>
      <c r="C142" s="504">
        <v>772015.68888888892</v>
      </c>
      <c r="D142" s="508">
        <f t="shared" si="26"/>
        <v>796565.8</v>
      </c>
      <c r="F142" s="430">
        <v>1.0318000000000001</v>
      </c>
      <c r="G142" s="433">
        <f>+D142-C142</f>
        <v>24550.111111111124</v>
      </c>
      <c r="H142" s="434">
        <f>+G142/C142</f>
        <v>3.1800015808544607E-2</v>
      </c>
    </row>
    <row r="143" spans="1:8" x14ac:dyDescent="0.25">
      <c r="A143" s="447" t="s">
        <v>43</v>
      </c>
      <c r="B143" s="448" t="s">
        <v>36</v>
      </c>
      <c r="C143" s="504">
        <v>744890.81333333335</v>
      </c>
      <c r="D143" s="508">
        <f t="shared" si="26"/>
        <v>768578.3</v>
      </c>
      <c r="F143" s="430">
        <v>1.0318000000000001</v>
      </c>
      <c r="G143" s="433">
        <f>+D143-C143</f>
        <v>23687.486666666693</v>
      </c>
      <c r="H143" s="434">
        <f>+G143/C143</f>
        <v>3.1799944693460341E-2</v>
      </c>
    </row>
    <row r="144" spans="1:8" x14ac:dyDescent="0.25">
      <c r="A144" s="447" t="s">
        <v>58</v>
      </c>
      <c r="B144" s="448" t="s">
        <v>36</v>
      </c>
      <c r="C144" s="504">
        <v>18778.760000000002</v>
      </c>
      <c r="D144" s="508">
        <f t="shared" si="26"/>
        <v>19375.900000000001</v>
      </c>
      <c r="F144" s="430">
        <v>1.0318000000000001</v>
      </c>
      <c r="G144" s="433">
        <f>+D144-C144</f>
        <v>597.13999999999942</v>
      </c>
      <c r="H144" s="434">
        <f>+G144/C144</f>
        <v>3.1798691713403833E-2</v>
      </c>
    </row>
    <row r="145" spans="1:8" x14ac:dyDescent="0.25">
      <c r="A145" s="447"/>
      <c r="B145" s="448"/>
      <c r="C145" s="504"/>
      <c r="D145" s="508">
        <f t="shared" si="26"/>
        <v>0</v>
      </c>
      <c r="G145" s="433"/>
      <c r="H145" s="434"/>
    </row>
    <row r="146" spans="1:8" ht="13.8" x14ac:dyDescent="0.25">
      <c r="A146" s="447" t="s">
        <v>85</v>
      </c>
      <c r="B146" s="448" t="s">
        <v>865</v>
      </c>
      <c r="C146" s="504">
        <v>512127.73920000001</v>
      </c>
      <c r="D146" s="508">
        <f t="shared" si="26"/>
        <v>528413.4</v>
      </c>
      <c r="F146" s="430">
        <v>1.0318000000000001</v>
      </c>
      <c r="G146" s="433">
        <f t="shared" ref="G146:G154" si="27">+D146-C146</f>
        <v>16285.660800000012</v>
      </c>
      <c r="H146" s="434">
        <f t="shared" ref="H146:H154" si="28">+G146/C146</f>
        <v>3.1799997448761531E-2</v>
      </c>
    </row>
    <row r="147" spans="1:8" x14ac:dyDescent="0.25">
      <c r="A147" s="447" t="s">
        <v>45</v>
      </c>
      <c r="B147" s="448" t="s">
        <v>5</v>
      </c>
      <c r="C147" s="504">
        <v>43851.5</v>
      </c>
      <c r="D147" s="508">
        <f t="shared" si="26"/>
        <v>45246</v>
      </c>
      <c r="F147" s="430">
        <v>1.0318000000000001</v>
      </c>
      <c r="G147" s="433">
        <f t="shared" si="27"/>
        <v>1394.5</v>
      </c>
      <c r="H147" s="434">
        <f t="shared" si="28"/>
        <v>3.1800508534485711E-2</v>
      </c>
    </row>
    <row r="148" spans="1:8" x14ac:dyDescent="0.25">
      <c r="A148" s="447" t="s">
        <v>46</v>
      </c>
      <c r="B148" s="448" t="s">
        <v>5</v>
      </c>
      <c r="C148" s="504">
        <v>19088.3</v>
      </c>
      <c r="D148" s="508">
        <f t="shared" si="26"/>
        <v>19695.3</v>
      </c>
      <c r="F148" s="430">
        <v>1.0318000000000001</v>
      </c>
      <c r="G148" s="433">
        <f t="shared" si="27"/>
        <v>607</v>
      </c>
      <c r="H148" s="434">
        <f t="shared" si="28"/>
        <v>3.1799584038390012E-2</v>
      </c>
    </row>
    <row r="149" spans="1:8" x14ac:dyDescent="0.25">
      <c r="A149" s="447" t="s">
        <v>47</v>
      </c>
      <c r="B149" s="448" t="s">
        <v>5</v>
      </c>
      <c r="C149" s="504">
        <v>67897.599000000002</v>
      </c>
      <c r="D149" s="508">
        <f t="shared" si="26"/>
        <v>70056.7</v>
      </c>
      <c r="F149" s="430">
        <v>1.0318000000000001</v>
      </c>
      <c r="G149" s="433">
        <f t="shared" si="27"/>
        <v>2159.1009999999951</v>
      </c>
      <c r="H149" s="434">
        <f t="shared" si="28"/>
        <v>3.1799371874696114E-2</v>
      </c>
    </row>
    <row r="150" spans="1:8" x14ac:dyDescent="0.25">
      <c r="A150" s="447" t="s">
        <v>41</v>
      </c>
      <c r="B150" s="448" t="s">
        <v>48</v>
      </c>
      <c r="C150" s="504">
        <v>9206.751400000001</v>
      </c>
      <c r="D150" s="508">
        <f t="shared" si="26"/>
        <v>9499.5</v>
      </c>
      <c r="F150" s="430">
        <v>1.0318000000000001</v>
      </c>
      <c r="G150" s="433">
        <f t="shared" si="27"/>
        <v>292.74859999999899</v>
      </c>
      <c r="H150" s="434">
        <f t="shared" si="28"/>
        <v>3.1797165719061229E-2</v>
      </c>
    </row>
    <row r="151" spans="1:8" x14ac:dyDescent="0.25">
      <c r="A151" s="447" t="s">
        <v>59</v>
      </c>
      <c r="B151" s="448" t="s">
        <v>5</v>
      </c>
      <c r="C151" s="504">
        <v>61453.492100000003</v>
      </c>
      <c r="D151" s="508">
        <f t="shared" si="26"/>
        <v>63407.7</v>
      </c>
      <c r="F151" s="430">
        <v>1.0318000000000001</v>
      </c>
      <c r="G151" s="433">
        <f t="shared" si="27"/>
        <v>1954.207899999994</v>
      </c>
      <c r="H151" s="434">
        <f t="shared" si="28"/>
        <v>3.1799786036894623E-2</v>
      </c>
    </row>
    <row r="152" spans="1:8" x14ac:dyDescent="0.25">
      <c r="A152" s="447" t="s">
        <v>191</v>
      </c>
      <c r="B152" s="448" t="s">
        <v>5</v>
      </c>
      <c r="C152" s="504">
        <v>10498.565000000001</v>
      </c>
      <c r="D152" s="508">
        <f t="shared" si="26"/>
        <v>10832.4</v>
      </c>
      <c r="F152" s="430">
        <v>1.0318000000000001</v>
      </c>
      <c r="G152" s="433">
        <f t="shared" si="27"/>
        <v>333.83499999999913</v>
      </c>
      <c r="H152" s="434">
        <f t="shared" si="28"/>
        <v>3.179815527169657E-2</v>
      </c>
    </row>
    <row r="153" spans="1:8" x14ac:dyDescent="0.25">
      <c r="A153" s="447" t="s">
        <v>196</v>
      </c>
      <c r="B153" s="448" t="s">
        <v>4</v>
      </c>
      <c r="C153" s="504">
        <v>10643.842440000002</v>
      </c>
      <c r="D153" s="508">
        <f t="shared" si="26"/>
        <v>10982.3</v>
      </c>
      <c r="F153" s="430">
        <v>1.0318000000000001</v>
      </c>
      <c r="G153" s="433">
        <f t="shared" si="27"/>
        <v>338.4575599999971</v>
      </c>
      <c r="H153" s="434">
        <f t="shared" si="28"/>
        <v>3.1798437632640966E-2</v>
      </c>
    </row>
    <row r="154" spans="1:8" x14ac:dyDescent="0.25">
      <c r="A154" s="447" t="s">
        <v>197</v>
      </c>
      <c r="B154" s="448" t="s">
        <v>90</v>
      </c>
      <c r="C154" s="504">
        <v>4754.5344000000005</v>
      </c>
      <c r="D154" s="508">
        <f t="shared" si="26"/>
        <v>4905.7</v>
      </c>
      <c r="F154" s="430">
        <v>1.0318000000000001</v>
      </c>
      <c r="G154" s="433">
        <f t="shared" si="27"/>
        <v>151.16559999999936</v>
      </c>
      <c r="H154" s="434">
        <f t="shared" si="28"/>
        <v>3.1793985968426128E-2</v>
      </c>
    </row>
    <row r="155" spans="1:8" x14ac:dyDescent="0.25">
      <c r="A155" s="447"/>
      <c r="B155" s="448"/>
      <c r="C155" s="504"/>
      <c r="D155" s="508">
        <f t="shared" si="26"/>
        <v>0</v>
      </c>
      <c r="G155" s="433"/>
      <c r="H155" s="434"/>
    </row>
    <row r="156" spans="1:8" x14ac:dyDescent="0.25">
      <c r="A156" s="447" t="s">
        <v>49</v>
      </c>
      <c r="B156" s="448" t="s">
        <v>36</v>
      </c>
      <c r="C156" s="504">
        <v>139918.00131811763</v>
      </c>
      <c r="D156" s="508">
        <f t="shared" si="26"/>
        <v>144367.4</v>
      </c>
      <c r="F156" s="430">
        <v>1.0318000000000001</v>
      </c>
      <c r="G156" s="433">
        <f t="shared" ref="G156:G164" si="29">+D156-C156</f>
        <v>4449.3986818823614</v>
      </c>
      <c r="H156" s="434">
        <f t="shared" ref="H156:H164" si="30">+G156/C156</f>
        <v>3.1800044597308154E-2</v>
      </c>
    </row>
    <row r="157" spans="1:8" x14ac:dyDescent="0.25">
      <c r="A157" s="447" t="s">
        <v>50</v>
      </c>
      <c r="B157" s="448" t="s">
        <v>36</v>
      </c>
      <c r="C157" s="504">
        <v>210915.36483211766</v>
      </c>
      <c r="D157" s="508">
        <f t="shared" si="26"/>
        <v>217622.5</v>
      </c>
      <c r="F157" s="430">
        <v>1.0318000000000001</v>
      </c>
      <c r="G157" s="433">
        <f t="shared" si="29"/>
        <v>6707.1351678823412</v>
      </c>
      <c r="H157" s="434">
        <f t="shared" si="30"/>
        <v>3.1800125956783762E-2</v>
      </c>
    </row>
    <row r="158" spans="1:8" x14ac:dyDescent="0.25">
      <c r="A158" s="447" t="s">
        <v>51</v>
      </c>
      <c r="B158" s="448" t="s">
        <v>36</v>
      </c>
      <c r="C158" s="504">
        <v>98162.417294117651</v>
      </c>
      <c r="D158" s="508">
        <f t="shared" si="26"/>
        <v>101284</v>
      </c>
      <c r="F158" s="430">
        <v>1.0318000000000001</v>
      </c>
      <c r="G158" s="433">
        <f t="shared" si="29"/>
        <v>3121.5827058823488</v>
      </c>
      <c r="H158" s="434">
        <f t="shared" si="30"/>
        <v>3.1800181698147814E-2</v>
      </c>
    </row>
    <row r="159" spans="1:8" x14ac:dyDescent="0.25">
      <c r="A159" s="447" t="s">
        <v>60</v>
      </c>
      <c r="B159" s="448" t="s">
        <v>36</v>
      </c>
      <c r="C159" s="504">
        <v>101376.57541051765</v>
      </c>
      <c r="D159" s="508">
        <f t="shared" si="26"/>
        <v>104600.4</v>
      </c>
      <c r="F159" s="430">
        <v>1.0318000000000001</v>
      </c>
      <c r="G159" s="433">
        <f t="shared" si="29"/>
        <v>3223.8245894823485</v>
      </c>
      <c r="H159" s="434">
        <f t="shared" si="30"/>
        <v>3.1800488193921395E-2</v>
      </c>
    </row>
    <row r="160" spans="1:8" x14ac:dyDescent="0.25">
      <c r="A160" s="447" t="s">
        <v>52</v>
      </c>
      <c r="B160" s="448" t="s">
        <v>36</v>
      </c>
      <c r="C160" s="504">
        <v>101376.57541051765</v>
      </c>
      <c r="D160" s="508">
        <f t="shared" si="26"/>
        <v>104600.4</v>
      </c>
      <c r="F160" s="430">
        <v>1.0318000000000001</v>
      </c>
      <c r="G160" s="433">
        <f t="shared" si="29"/>
        <v>3223.8245894823485</v>
      </c>
      <c r="H160" s="434">
        <f t="shared" si="30"/>
        <v>3.1800488193921395E-2</v>
      </c>
    </row>
    <row r="161" spans="1:8" x14ac:dyDescent="0.25">
      <c r="A161" s="447" t="s">
        <v>61</v>
      </c>
      <c r="B161" s="448" t="s">
        <v>36</v>
      </c>
      <c r="C161" s="504">
        <v>101376.57541051765</v>
      </c>
      <c r="D161" s="508">
        <f t="shared" si="26"/>
        <v>104600.4</v>
      </c>
      <c r="F161" s="430">
        <v>1.0318000000000001</v>
      </c>
      <c r="G161" s="433">
        <f t="shared" si="29"/>
        <v>3223.8245894823485</v>
      </c>
      <c r="H161" s="434">
        <f t="shared" si="30"/>
        <v>3.1800488193921395E-2</v>
      </c>
    </row>
    <row r="162" spans="1:8" x14ac:dyDescent="0.25">
      <c r="A162" s="447" t="s">
        <v>54</v>
      </c>
      <c r="B162" s="448" t="s">
        <v>36</v>
      </c>
      <c r="C162" s="504">
        <v>185559.16357711764</v>
      </c>
      <c r="D162" s="508">
        <f t="shared" si="26"/>
        <v>191459.9</v>
      </c>
      <c r="F162" s="430">
        <v>1.0318000000000001</v>
      </c>
      <c r="G162" s="433">
        <f t="shared" si="29"/>
        <v>5900.7364228823571</v>
      </c>
      <c r="H162" s="434">
        <f t="shared" si="30"/>
        <v>3.1799757603617536E-2</v>
      </c>
    </row>
    <row r="163" spans="1:8" x14ac:dyDescent="0.25">
      <c r="A163" s="447" t="s">
        <v>55</v>
      </c>
      <c r="B163" s="448" t="s">
        <v>36</v>
      </c>
      <c r="C163" s="504">
        <v>185559.16357711764</v>
      </c>
      <c r="D163" s="508">
        <f t="shared" si="26"/>
        <v>191459.9</v>
      </c>
      <c r="F163" s="430">
        <v>1.0318000000000001</v>
      </c>
      <c r="G163" s="433">
        <f t="shared" si="29"/>
        <v>5900.7364228823571</v>
      </c>
      <c r="H163" s="434">
        <f t="shared" si="30"/>
        <v>3.1799757603617536E-2</v>
      </c>
    </row>
    <row r="164" spans="1:8" ht="12.6" thickBot="1" x14ac:dyDescent="0.3">
      <c r="A164" s="438" t="s">
        <v>56</v>
      </c>
      <c r="B164" s="441" t="s">
        <v>36</v>
      </c>
      <c r="C164" s="500">
        <v>101376.57541051765</v>
      </c>
      <c r="D164" s="508">
        <f t="shared" si="26"/>
        <v>104600.4</v>
      </c>
      <c r="F164" s="430">
        <v>1.0318000000000001</v>
      </c>
      <c r="G164" s="433">
        <f t="shared" si="29"/>
        <v>3223.8245894823485</v>
      </c>
      <c r="H164" s="434">
        <f t="shared" si="30"/>
        <v>3.1800488193921395E-2</v>
      </c>
    </row>
    <row r="165" spans="1:8" x14ac:dyDescent="0.25">
      <c r="A165" s="442"/>
      <c r="B165" s="495"/>
      <c r="C165" s="503"/>
      <c r="D165" s="511"/>
      <c r="G165" s="433"/>
      <c r="H165" s="434"/>
    </row>
    <row r="166" spans="1:8" ht="12.6" thickBot="1" x14ac:dyDescent="0.3">
      <c r="A166" s="442"/>
      <c r="B166" s="495"/>
      <c r="C166" s="503"/>
      <c r="D166" s="511"/>
      <c r="G166" s="433"/>
      <c r="H166" s="434"/>
    </row>
    <row r="167" spans="1:8" ht="27.75" customHeight="1" x14ac:dyDescent="0.25">
      <c r="A167" s="489" t="s">
        <v>858</v>
      </c>
      <c r="B167" s="494"/>
      <c r="C167" s="502"/>
      <c r="D167" s="510"/>
      <c r="G167" s="433"/>
      <c r="H167" s="434"/>
    </row>
    <row r="168" spans="1:8" ht="12.6" thickBot="1" x14ac:dyDescent="0.3">
      <c r="A168" s="436" t="s">
        <v>841</v>
      </c>
      <c r="B168" s="437" t="s">
        <v>205</v>
      </c>
      <c r="C168" s="498" t="s">
        <v>908</v>
      </c>
      <c r="D168" s="507" t="s">
        <v>909</v>
      </c>
      <c r="G168" s="433"/>
      <c r="H168" s="434"/>
    </row>
    <row r="169" spans="1:8" ht="13.2" thickTop="1" thickBot="1" x14ac:dyDescent="0.3">
      <c r="A169" s="438" t="s">
        <v>97</v>
      </c>
      <c r="B169" s="441" t="s">
        <v>4</v>
      </c>
      <c r="C169" s="500">
        <v>8563.94</v>
      </c>
      <c r="D169" s="508">
        <f t="shared" ref="D169" si="31">+ROUND(C169*F169,1)</f>
        <v>8836.2999999999993</v>
      </c>
      <c r="F169" s="430">
        <v>1.0318000000000001</v>
      </c>
      <c r="G169" s="433">
        <f>+D169-C169</f>
        <v>272.35999999999876</v>
      </c>
      <c r="H169" s="434">
        <f>+G169/C169</f>
        <v>3.1803118658000729E-2</v>
      </c>
    </row>
    <row r="170" spans="1:8" x14ac:dyDescent="0.25">
      <c r="A170" s="442"/>
      <c r="B170" s="495"/>
      <c r="C170" s="503"/>
      <c r="D170" s="511"/>
      <c r="G170" s="433"/>
      <c r="H170" s="434"/>
    </row>
    <row r="171" spans="1:8" ht="12.6" thickBot="1" x14ac:dyDescent="0.3">
      <c r="A171" s="442"/>
      <c r="B171" s="495"/>
      <c r="C171" s="503"/>
      <c r="D171" s="511"/>
      <c r="G171" s="433"/>
      <c r="H171" s="434"/>
    </row>
    <row r="172" spans="1:8" ht="34.5" customHeight="1" x14ac:dyDescent="0.25">
      <c r="A172" s="489" t="s">
        <v>859</v>
      </c>
      <c r="B172" s="494"/>
      <c r="C172" s="502"/>
      <c r="D172" s="510"/>
      <c r="G172" s="433"/>
      <c r="H172" s="434"/>
    </row>
    <row r="173" spans="1:8" ht="12.6" thickBot="1" x14ac:dyDescent="0.3">
      <c r="A173" s="436" t="s">
        <v>841</v>
      </c>
      <c r="B173" s="437" t="s">
        <v>205</v>
      </c>
      <c r="C173" s="498" t="s">
        <v>908</v>
      </c>
      <c r="D173" s="507" t="s">
        <v>909</v>
      </c>
      <c r="G173" s="433"/>
      <c r="H173" s="434"/>
    </row>
    <row r="174" spans="1:8" ht="13.2" thickTop="1" thickBot="1" x14ac:dyDescent="0.3">
      <c r="A174" s="438" t="s">
        <v>199</v>
      </c>
      <c r="B174" s="441" t="s">
        <v>200</v>
      </c>
      <c r="C174" s="500">
        <v>216678</v>
      </c>
      <c r="D174" s="508">
        <f t="shared" ref="D174" si="32">+ROUND(C174*F174,1)</f>
        <v>223568.4</v>
      </c>
      <c r="F174" s="430">
        <v>1.0318000000000001</v>
      </c>
      <c r="G174" s="433">
        <f>+D174-C174</f>
        <v>6890.3999999999942</v>
      </c>
      <c r="H174" s="434">
        <f>+G174/C174</f>
        <v>3.1800182759671003E-2</v>
      </c>
    </row>
    <row r="175" spans="1:8" ht="12.6" thickBot="1" x14ac:dyDescent="0.3">
      <c r="A175" s="442"/>
      <c r="B175" s="495"/>
      <c r="C175" s="503"/>
      <c r="D175" s="511"/>
      <c r="G175" s="433"/>
      <c r="H175" s="434"/>
    </row>
    <row r="176" spans="1:8" x14ac:dyDescent="0.25">
      <c r="A176" s="489" t="s">
        <v>860</v>
      </c>
      <c r="B176" s="494"/>
      <c r="C176" s="502"/>
      <c r="D176" s="510"/>
      <c r="G176" s="433"/>
      <c r="H176" s="434"/>
    </row>
    <row r="177" spans="1:8" ht="12.6" thickBot="1" x14ac:dyDescent="0.3">
      <c r="A177" s="436" t="s">
        <v>841</v>
      </c>
      <c r="B177" s="437" t="s">
        <v>205</v>
      </c>
      <c r="C177" s="498" t="s">
        <v>908</v>
      </c>
      <c r="D177" s="507" t="s">
        <v>909</v>
      </c>
      <c r="G177" s="433"/>
      <c r="H177" s="434"/>
    </row>
    <row r="178" spans="1:8" ht="12.6" thickTop="1" x14ac:dyDescent="0.25">
      <c r="A178" s="447" t="s">
        <v>291</v>
      </c>
      <c r="B178" s="458" t="s">
        <v>111</v>
      </c>
      <c r="C178" s="504">
        <v>14445200</v>
      </c>
      <c r="D178" s="508">
        <f t="shared" ref="D178:D182" si="33">+ROUND(C178*F178,1)</f>
        <v>14904557.4</v>
      </c>
      <c r="F178" s="430">
        <v>1.0318000000000001</v>
      </c>
      <c r="G178" s="433">
        <f>+D178-C178</f>
        <v>459357.40000000037</v>
      </c>
      <c r="H178" s="434">
        <f>+G178/C178</f>
        <v>3.1800002769085949E-2</v>
      </c>
    </row>
    <row r="179" spans="1:8" x14ac:dyDescent="0.25">
      <c r="A179" s="447" t="s">
        <v>292</v>
      </c>
      <c r="B179" s="458" t="s">
        <v>113</v>
      </c>
      <c r="C179" s="504">
        <v>1547700</v>
      </c>
      <c r="D179" s="508">
        <f t="shared" si="33"/>
        <v>1596916.9</v>
      </c>
      <c r="F179" s="430">
        <v>1.0318000000000001</v>
      </c>
      <c r="G179" s="433">
        <f>+D179-C179</f>
        <v>49216.899999999907</v>
      </c>
      <c r="H179" s="434">
        <f>+G179/C179</f>
        <v>3.1800025844801905E-2</v>
      </c>
    </row>
    <row r="180" spans="1:8" x14ac:dyDescent="0.25">
      <c r="A180" s="447" t="s">
        <v>293</v>
      </c>
      <c r="B180" s="458" t="s">
        <v>113</v>
      </c>
      <c r="C180" s="504">
        <v>1031800</v>
      </c>
      <c r="D180" s="508">
        <f t="shared" si="33"/>
        <v>1064611.2</v>
      </c>
      <c r="F180" s="430">
        <v>1.0318000000000001</v>
      </c>
      <c r="G180" s="433">
        <f>+D180-C180</f>
        <v>32811.199999999953</v>
      </c>
      <c r="H180" s="434">
        <f>+G180/C180</f>
        <v>3.1799961232797005E-2</v>
      </c>
    </row>
    <row r="181" spans="1:8" x14ac:dyDescent="0.25">
      <c r="A181" s="447" t="s">
        <v>295</v>
      </c>
      <c r="B181" s="448" t="s">
        <v>111</v>
      </c>
      <c r="C181" s="504">
        <v>1547700</v>
      </c>
      <c r="D181" s="508">
        <f t="shared" si="33"/>
        <v>1596916.9</v>
      </c>
      <c r="F181" s="430">
        <v>1.0318000000000001</v>
      </c>
      <c r="G181" s="433">
        <f>+D181-C181</f>
        <v>49216.899999999907</v>
      </c>
      <c r="H181" s="434">
        <f>+G181/C181</f>
        <v>3.1800025844801905E-2</v>
      </c>
    </row>
    <row r="182" spans="1:8" ht="12.6" thickBot="1" x14ac:dyDescent="0.3">
      <c r="A182" s="438" t="s">
        <v>296</v>
      </c>
      <c r="B182" s="441" t="s">
        <v>111</v>
      </c>
      <c r="C182" s="500">
        <v>515900</v>
      </c>
      <c r="D182" s="508">
        <f t="shared" si="33"/>
        <v>532305.6</v>
      </c>
      <c r="F182" s="430">
        <v>1.0318000000000001</v>
      </c>
      <c r="G182" s="433">
        <f>+D182-C182</f>
        <v>16405.599999999977</v>
      </c>
      <c r="H182" s="434">
        <f>+G182/C182</f>
        <v>3.1799961232797005E-2</v>
      </c>
    </row>
    <row r="183" spans="1:8" x14ac:dyDescent="0.25">
      <c r="A183" s="442"/>
      <c r="B183" s="495"/>
      <c r="C183" s="503"/>
      <c r="D183" s="511"/>
      <c r="G183" s="433"/>
      <c r="H183" s="434"/>
    </row>
    <row r="184" spans="1:8" x14ac:dyDescent="0.25">
      <c r="A184" s="442"/>
      <c r="B184" s="495"/>
      <c r="C184" s="503"/>
      <c r="D184" s="511"/>
    </row>
    <row r="185" spans="1:8" x14ac:dyDescent="0.25">
      <c r="A185" s="442"/>
      <c r="B185" s="495"/>
      <c r="C185" s="503"/>
      <c r="D185" s="511"/>
    </row>
    <row r="186" spans="1:8" x14ac:dyDescent="0.25">
      <c r="A186" s="442"/>
      <c r="B186" s="495"/>
      <c r="C186" s="503"/>
      <c r="D186" s="511"/>
    </row>
    <row r="187" spans="1:8" x14ac:dyDescent="0.25">
      <c r="A187" s="442"/>
      <c r="B187" s="495"/>
      <c r="C187" s="503"/>
      <c r="D187" s="511"/>
    </row>
    <row r="188" spans="1:8" x14ac:dyDescent="0.25">
      <c r="A188" s="442"/>
      <c r="B188" s="495"/>
      <c r="C188" s="503"/>
      <c r="D188" s="511"/>
    </row>
    <row r="189" spans="1:8" x14ac:dyDescent="0.25">
      <c r="A189" s="442"/>
      <c r="B189" s="495"/>
      <c r="C189" s="503"/>
      <c r="D189" s="511"/>
    </row>
    <row r="190" spans="1:8" x14ac:dyDescent="0.25">
      <c r="A190" s="442"/>
      <c r="B190" s="495"/>
      <c r="C190" s="503"/>
      <c r="D190" s="511"/>
    </row>
    <row r="191" spans="1:8" x14ac:dyDescent="0.25">
      <c r="A191" s="442"/>
      <c r="B191" s="495"/>
      <c r="C191" s="503"/>
      <c r="D191" s="511"/>
    </row>
    <row r="192" spans="1:8" x14ac:dyDescent="0.25">
      <c r="A192" s="442"/>
      <c r="B192" s="495"/>
      <c r="C192" s="503"/>
      <c r="D192" s="511"/>
    </row>
    <row r="193" spans="1:4" x14ac:dyDescent="0.25">
      <c r="A193" s="442"/>
      <c r="B193" s="495"/>
      <c r="C193" s="503"/>
      <c r="D193" s="511"/>
    </row>
    <row r="194" spans="1:4" x14ac:dyDescent="0.25">
      <c r="A194" s="442"/>
      <c r="B194" s="495"/>
      <c r="C194" s="503"/>
      <c r="D194" s="511"/>
    </row>
    <row r="195" spans="1:4" x14ac:dyDescent="0.25">
      <c r="A195" s="442"/>
      <c r="B195" s="495"/>
      <c r="C195" s="503"/>
      <c r="D195" s="511"/>
    </row>
    <row r="196" spans="1:4" x14ac:dyDescent="0.25">
      <c r="A196" s="442"/>
      <c r="B196" s="495"/>
      <c r="C196" s="503"/>
      <c r="D196" s="511"/>
    </row>
    <row r="197" spans="1:4" x14ac:dyDescent="0.25">
      <c r="A197" s="442"/>
      <c r="B197" s="495"/>
      <c r="C197" s="503"/>
      <c r="D197" s="511"/>
    </row>
    <row r="198" spans="1:4" x14ac:dyDescent="0.25">
      <c r="A198" s="442"/>
      <c r="B198" s="495"/>
      <c r="C198" s="503"/>
      <c r="D198" s="511"/>
    </row>
    <row r="199" spans="1:4" x14ac:dyDescent="0.25">
      <c r="A199" s="442"/>
      <c r="B199" s="495"/>
      <c r="C199" s="503"/>
      <c r="D199" s="511"/>
    </row>
    <row r="200" spans="1:4" x14ac:dyDescent="0.25">
      <c r="A200" s="442"/>
      <c r="B200" s="495"/>
      <c r="C200" s="503"/>
      <c r="D200" s="511"/>
    </row>
    <row r="201" spans="1:4" x14ac:dyDescent="0.25">
      <c r="A201" s="442"/>
      <c r="B201" s="495"/>
      <c r="C201" s="503"/>
      <c r="D201" s="511"/>
    </row>
    <row r="202" spans="1:4" x14ac:dyDescent="0.25">
      <c r="A202" s="442"/>
      <c r="B202" s="495"/>
      <c r="C202" s="503"/>
      <c r="D202" s="511"/>
    </row>
    <row r="203" spans="1:4" x14ac:dyDescent="0.25">
      <c r="A203" s="442"/>
      <c r="B203" s="495"/>
      <c r="C203" s="503"/>
      <c r="D203" s="511"/>
    </row>
    <row r="204" spans="1:4" x14ac:dyDescent="0.25">
      <c r="A204" s="442"/>
      <c r="B204" s="495"/>
      <c r="C204" s="503"/>
      <c r="D204" s="511"/>
    </row>
    <row r="205" spans="1:4" x14ac:dyDescent="0.25">
      <c r="A205" s="442"/>
      <c r="B205" s="495"/>
      <c r="C205" s="503"/>
      <c r="D205" s="511"/>
    </row>
    <row r="206" spans="1:4" x14ac:dyDescent="0.25">
      <c r="A206" s="442"/>
      <c r="B206" s="495"/>
      <c r="C206" s="503"/>
      <c r="D206" s="511"/>
    </row>
    <row r="207" spans="1:4" x14ac:dyDescent="0.25">
      <c r="A207" s="442"/>
      <c r="B207" s="495"/>
      <c r="C207" s="503"/>
      <c r="D207" s="511"/>
    </row>
    <row r="208" spans="1:4" x14ac:dyDescent="0.25">
      <c r="A208" s="442"/>
      <c r="B208" s="495"/>
      <c r="C208" s="503"/>
      <c r="D208" s="511"/>
    </row>
    <row r="209" spans="1:4" x14ac:dyDescent="0.25">
      <c r="A209" s="442"/>
      <c r="B209" s="495"/>
      <c r="C209" s="503"/>
      <c r="D209" s="511"/>
    </row>
    <row r="210" spans="1:4" x14ac:dyDescent="0.25">
      <c r="A210" s="442"/>
      <c r="B210" s="495"/>
      <c r="C210" s="503"/>
      <c r="D210" s="511"/>
    </row>
    <row r="211" spans="1:4" x14ac:dyDescent="0.25">
      <c r="A211" s="442"/>
      <c r="B211" s="495"/>
      <c r="C211" s="503"/>
      <c r="D211" s="511"/>
    </row>
    <row r="212" spans="1:4" x14ac:dyDescent="0.25">
      <c r="A212" s="442"/>
      <c r="B212" s="495"/>
      <c r="C212" s="503"/>
      <c r="D212" s="511"/>
    </row>
    <row r="213" spans="1:4" x14ac:dyDescent="0.25">
      <c r="A213" s="442"/>
      <c r="B213" s="495"/>
      <c r="C213" s="503"/>
      <c r="D213" s="511"/>
    </row>
    <row r="214" spans="1:4" x14ac:dyDescent="0.25">
      <c r="A214" s="442"/>
      <c r="B214" s="495"/>
      <c r="C214" s="503"/>
      <c r="D214" s="511"/>
    </row>
    <row r="215" spans="1:4" x14ac:dyDescent="0.25">
      <c r="A215" s="442"/>
      <c r="B215" s="495"/>
      <c r="C215" s="503"/>
      <c r="D215" s="511"/>
    </row>
    <row r="216" spans="1:4" x14ac:dyDescent="0.25">
      <c r="A216" s="442"/>
      <c r="B216" s="495"/>
      <c r="C216" s="503"/>
      <c r="D216" s="511"/>
    </row>
    <row r="217" spans="1:4" x14ac:dyDescent="0.25">
      <c r="A217" s="442"/>
      <c r="B217" s="495"/>
      <c r="C217" s="503"/>
      <c r="D217" s="511"/>
    </row>
    <row r="218" spans="1:4" x14ac:dyDescent="0.25">
      <c r="A218" s="442"/>
      <c r="B218" s="495"/>
      <c r="C218" s="503"/>
      <c r="D218" s="511"/>
    </row>
    <row r="219" spans="1:4" x14ac:dyDescent="0.25">
      <c r="A219" s="442"/>
      <c r="B219" s="495"/>
      <c r="C219" s="503"/>
      <c r="D219" s="511"/>
    </row>
    <row r="220" spans="1:4" x14ac:dyDescent="0.25">
      <c r="A220" s="442"/>
      <c r="B220" s="495"/>
      <c r="C220" s="503"/>
      <c r="D220" s="511"/>
    </row>
    <row r="221" spans="1:4" x14ac:dyDescent="0.25">
      <c r="A221" s="442"/>
      <c r="B221" s="495"/>
      <c r="C221" s="503"/>
      <c r="D221" s="511"/>
    </row>
    <row r="222" spans="1:4" x14ac:dyDescent="0.25">
      <c r="A222" s="442"/>
      <c r="B222" s="495"/>
      <c r="C222" s="503"/>
      <c r="D222" s="511"/>
    </row>
    <row r="223" spans="1:4" x14ac:dyDescent="0.25">
      <c r="A223" s="442"/>
      <c r="B223" s="495"/>
      <c r="C223" s="503"/>
      <c r="D223" s="511"/>
    </row>
    <row r="224" spans="1:4" x14ac:dyDescent="0.25">
      <c r="A224" s="442"/>
      <c r="B224" s="495"/>
      <c r="C224" s="503"/>
      <c r="D224" s="511"/>
    </row>
    <row r="225" spans="1:4" x14ac:dyDescent="0.25">
      <c r="A225" s="442"/>
      <c r="B225" s="495"/>
      <c r="C225" s="503"/>
      <c r="D225" s="511"/>
    </row>
    <row r="226" spans="1:4" x14ac:dyDescent="0.25">
      <c r="A226" s="442"/>
      <c r="B226" s="495"/>
      <c r="C226" s="503"/>
      <c r="D226" s="511"/>
    </row>
    <row r="227" spans="1:4" x14ac:dyDescent="0.25">
      <c r="A227" s="442"/>
      <c r="B227" s="495"/>
      <c r="C227" s="503"/>
      <c r="D227" s="511"/>
    </row>
    <row r="228" spans="1:4" x14ac:dyDescent="0.25">
      <c r="A228" s="442"/>
      <c r="B228" s="495"/>
      <c r="C228" s="503"/>
      <c r="D228" s="511"/>
    </row>
    <row r="229" spans="1:4" x14ac:dyDescent="0.25">
      <c r="A229" s="442"/>
      <c r="B229" s="495"/>
      <c r="C229" s="503"/>
      <c r="D229" s="511"/>
    </row>
    <row r="230" spans="1:4" x14ac:dyDescent="0.25">
      <c r="A230" s="442"/>
      <c r="B230" s="495"/>
      <c r="C230" s="503"/>
      <c r="D230" s="511"/>
    </row>
    <row r="231" spans="1:4" x14ac:dyDescent="0.25">
      <c r="A231" s="442"/>
      <c r="B231" s="495"/>
      <c r="C231" s="503"/>
      <c r="D231" s="511"/>
    </row>
    <row r="232" spans="1:4" x14ac:dyDescent="0.25">
      <c r="A232" s="442"/>
      <c r="B232" s="495"/>
      <c r="C232" s="503"/>
      <c r="D232" s="511"/>
    </row>
    <row r="233" spans="1:4" x14ac:dyDescent="0.25">
      <c r="A233" s="442"/>
      <c r="B233" s="495"/>
      <c r="C233" s="503"/>
      <c r="D233" s="511"/>
    </row>
    <row r="234" spans="1:4" x14ac:dyDescent="0.25">
      <c r="A234" s="442"/>
      <c r="B234" s="495"/>
      <c r="C234" s="503"/>
      <c r="D234" s="511"/>
    </row>
    <row r="235" spans="1:4" x14ac:dyDescent="0.25">
      <c r="A235" s="442"/>
      <c r="B235" s="495"/>
      <c r="C235" s="503"/>
      <c r="D235" s="511"/>
    </row>
    <row r="236" spans="1:4" x14ac:dyDescent="0.25">
      <c r="A236" s="442"/>
      <c r="B236" s="495"/>
      <c r="C236" s="503"/>
      <c r="D236" s="511"/>
    </row>
    <row r="237" spans="1:4" x14ac:dyDescent="0.25">
      <c r="A237" s="442"/>
      <c r="B237" s="495"/>
      <c r="C237" s="503"/>
      <c r="D237" s="511"/>
    </row>
    <row r="238" spans="1:4" x14ac:dyDescent="0.25">
      <c r="A238" s="442"/>
      <c r="B238" s="495"/>
      <c r="C238" s="503"/>
      <c r="D238" s="511"/>
    </row>
    <row r="239" spans="1:4" x14ac:dyDescent="0.25">
      <c r="A239" s="442"/>
      <c r="B239" s="495"/>
      <c r="C239" s="503"/>
      <c r="D239" s="511"/>
    </row>
    <row r="240" spans="1:4" x14ac:dyDescent="0.25">
      <c r="A240" s="442"/>
      <c r="B240" s="495"/>
      <c r="C240" s="503"/>
      <c r="D240" s="511"/>
    </row>
    <row r="241" spans="1:4" x14ac:dyDescent="0.25">
      <c r="A241" s="442"/>
      <c r="B241" s="495"/>
      <c r="C241" s="503"/>
      <c r="D241" s="511"/>
    </row>
    <row r="242" spans="1:4" x14ac:dyDescent="0.25">
      <c r="A242" s="442"/>
      <c r="B242" s="495"/>
      <c r="C242" s="503"/>
      <c r="D242" s="511"/>
    </row>
    <row r="243" spans="1:4" x14ac:dyDescent="0.25">
      <c r="A243" s="442"/>
      <c r="B243" s="495"/>
      <c r="C243" s="503"/>
      <c r="D243" s="511"/>
    </row>
    <row r="244" spans="1:4" x14ac:dyDescent="0.25">
      <c r="A244" s="442"/>
      <c r="B244" s="495"/>
      <c r="C244" s="503"/>
      <c r="D244" s="511"/>
    </row>
    <row r="245" spans="1:4" x14ac:dyDescent="0.25">
      <c r="A245" s="442"/>
      <c r="B245" s="495"/>
      <c r="C245" s="503"/>
      <c r="D245" s="511"/>
    </row>
    <row r="246" spans="1:4" x14ac:dyDescent="0.25">
      <c r="A246" s="442"/>
      <c r="B246" s="495"/>
      <c r="C246" s="503"/>
      <c r="D246" s="511"/>
    </row>
    <row r="247" spans="1:4" x14ac:dyDescent="0.25">
      <c r="A247" s="442"/>
      <c r="B247" s="495"/>
      <c r="C247" s="503"/>
      <c r="D247" s="511"/>
    </row>
    <row r="248" spans="1:4" x14ac:dyDescent="0.25">
      <c r="A248" s="442"/>
      <c r="B248" s="495"/>
      <c r="C248" s="503"/>
      <c r="D248" s="511"/>
    </row>
    <row r="249" spans="1:4" x14ac:dyDescent="0.25">
      <c r="A249" s="442"/>
      <c r="B249" s="495"/>
      <c r="C249" s="503"/>
      <c r="D249" s="511"/>
    </row>
    <row r="250" spans="1:4" x14ac:dyDescent="0.25">
      <c r="A250" s="442"/>
      <c r="B250" s="495"/>
      <c r="C250" s="503"/>
      <c r="D250" s="511"/>
    </row>
    <row r="251" spans="1:4" x14ac:dyDescent="0.25">
      <c r="A251" s="442"/>
      <c r="B251" s="495"/>
      <c r="C251" s="503"/>
      <c r="D251" s="511"/>
    </row>
    <row r="252" spans="1:4" x14ac:dyDescent="0.25">
      <c r="A252" s="442"/>
      <c r="B252" s="495"/>
      <c r="C252" s="503"/>
      <c r="D252" s="511"/>
    </row>
    <row r="253" spans="1:4" x14ac:dyDescent="0.25">
      <c r="A253" s="442"/>
      <c r="B253" s="495"/>
      <c r="C253" s="503"/>
      <c r="D253" s="511"/>
    </row>
    <row r="254" spans="1:4" x14ac:dyDescent="0.25">
      <c r="A254" s="442"/>
      <c r="B254" s="495"/>
      <c r="C254" s="503"/>
      <c r="D254" s="511"/>
    </row>
    <row r="255" spans="1:4" x14ac:dyDescent="0.25">
      <c r="A255" s="442"/>
      <c r="B255" s="495"/>
      <c r="C255" s="503"/>
      <c r="D255" s="511"/>
    </row>
    <row r="256" spans="1:4" x14ac:dyDescent="0.25">
      <c r="A256" s="442"/>
      <c r="B256" s="495"/>
      <c r="C256" s="503"/>
      <c r="D256" s="511"/>
    </row>
    <row r="257" spans="1:4" x14ac:dyDescent="0.25">
      <c r="A257" s="442"/>
      <c r="B257" s="495"/>
      <c r="C257" s="503"/>
      <c r="D257" s="511"/>
    </row>
    <row r="258" spans="1:4" x14ac:dyDescent="0.25">
      <c r="A258" s="442"/>
      <c r="B258" s="495"/>
      <c r="C258" s="503"/>
      <c r="D258" s="511"/>
    </row>
    <row r="259" spans="1:4" x14ac:dyDescent="0.25">
      <c r="A259" s="442"/>
      <c r="B259" s="495"/>
      <c r="C259" s="503"/>
      <c r="D259" s="511"/>
    </row>
    <row r="260" spans="1:4" x14ac:dyDescent="0.25">
      <c r="A260" s="442"/>
      <c r="B260" s="495"/>
      <c r="C260" s="503"/>
      <c r="D260" s="511"/>
    </row>
    <row r="261" spans="1:4" x14ac:dyDescent="0.25">
      <c r="A261" s="442"/>
      <c r="B261" s="495"/>
      <c r="C261" s="503"/>
      <c r="D261" s="511"/>
    </row>
    <row r="262" spans="1:4" x14ac:dyDescent="0.25">
      <c r="A262" s="442"/>
      <c r="B262" s="495"/>
      <c r="C262" s="503"/>
      <c r="D262" s="511"/>
    </row>
    <row r="263" spans="1:4" x14ac:dyDescent="0.25">
      <c r="A263" s="442"/>
      <c r="B263" s="495"/>
      <c r="C263" s="503"/>
      <c r="D263" s="511"/>
    </row>
    <row r="264" spans="1:4" x14ac:dyDescent="0.25">
      <c r="A264" s="442"/>
      <c r="B264" s="495"/>
      <c r="C264" s="503"/>
      <c r="D264" s="511"/>
    </row>
    <row r="265" spans="1:4" x14ac:dyDescent="0.25">
      <c r="A265" s="442"/>
      <c r="B265" s="495"/>
      <c r="C265" s="503"/>
      <c r="D265" s="511"/>
    </row>
    <row r="266" spans="1:4" x14ac:dyDescent="0.25">
      <c r="A266" s="442"/>
      <c r="B266" s="495"/>
      <c r="C266" s="503"/>
      <c r="D266" s="511"/>
    </row>
    <row r="267" spans="1:4" x14ac:dyDescent="0.25">
      <c r="A267" s="442"/>
      <c r="B267" s="495"/>
      <c r="C267" s="503"/>
      <c r="D267" s="511"/>
    </row>
    <row r="268" spans="1:4" x14ac:dyDescent="0.25">
      <c r="A268" s="442"/>
      <c r="B268" s="495"/>
      <c r="C268" s="503"/>
      <c r="D268" s="511"/>
    </row>
    <row r="269" spans="1:4" x14ac:dyDescent="0.25">
      <c r="A269" s="442"/>
      <c r="B269" s="495"/>
      <c r="C269" s="503"/>
      <c r="D269" s="511"/>
    </row>
    <row r="270" spans="1:4" x14ac:dyDescent="0.25">
      <c r="A270" s="442"/>
      <c r="B270" s="495"/>
      <c r="C270" s="503"/>
      <c r="D270" s="511"/>
    </row>
    <row r="271" spans="1:4" x14ac:dyDescent="0.25">
      <c r="A271" s="442"/>
      <c r="B271" s="495"/>
      <c r="C271" s="503"/>
      <c r="D271" s="511"/>
    </row>
    <row r="272" spans="1:4" x14ac:dyDescent="0.25">
      <c r="A272" s="442"/>
      <c r="B272" s="495"/>
      <c r="C272" s="503"/>
      <c r="D272" s="511"/>
    </row>
    <row r="273" spans="1:4" x14ac:dyDescent="0.25">
      <c r="A273" s="442"/>
      <c r="B273" s="495"/>
      <c r="C273" s="503"/>
      <c r="D273" s="511"/>
    </row>
    <row r="274" spans="1:4" x14ac:dyDescent="0.25">
      <c r="A274" s="442"/>
      <c r="B274" s="495"/>
      <c r="C274" s="503"/>
      <c r="D274" s="511"/>
    </row>
    <row r="275" spans="1:4" x14ac:dyDescent="0.25">
      <c r="A275" s="442"/>
      <c r="B275" s="495"/>
      <c r="C275" s="503"/>
      <c r="D275" s="511"/>
    </row>
    <row r="276" spans="1:4" x14ac:dyDescent="0.25">
      <c r="A276" s="442"/>
      <c r="B276" s="495"/>
      <c r="C276" s="503"/>
      <c r="D276" s="511"/>
    </row>
    <row r="277" spans="1:4" x14ac:dyDescent="0.25">
      <c r="A277" s="442"/>
      <c r="B277" s="495"/>
      <c r="C277" s="503"/>
      <c r="D277" s="511"/>
    </row>
    <row r="278" spans="1:4" x14ac:dyDescent="0.25">
      <c r="A278" s="442"/>
      <c r="B278" s="495"/>
      <c r="C278" s="503"/>
      <c r="D278" s="511"/>
    </row>
  </sheetData>
  <protectedRanges>
    <protectedRange sqref="A50" name="Rango1_2_1_2"/>
    <protectedRange sqref="A51" name="Rango1_2_2_1"/>
    <protectedRange sqref="B51" name="Rango1_6_2_1_3_1"/>
  </protectedRanges>
  <printOptions horizontalCentered="1"/>
  <pageMargins left="0.39370078740157483" right="0.31496062992125984" top="0.74803149606299213" bottom="0.74803149606299213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592"/>
  <sheetViews>
    <sheetView topLeftCell="A52" zoomScale="90" zoomScaleNormal="90" workbookViewId="0">
      <selection activeCell="F200" sqref="F200"/>
    </sheetView>
  </sheetViews>
  <sheetFormatPr baseColWidth="10" defaultRowHeight="14.4" x14ac:dyDescent="0.3"/>
  <cols>
    <col min="6" max="6" width="14" customWidth="1"/>
    <col min="8" max="8" width="12.44140625" customWidth="1"/>
    <col min="9" max="9" width="13.5546875" customWidth="1"/>
    <col min="10" max="10" width="14" customWidth="1"/>
  </cols>
  <sheetData>
    <row r="1" spans="1:11" ht="15.6" x14ac:dyDescent="0.3">
      <c r="A1" s="836"/>
      <c r="B1" s="837"/>
      <c r="C1" s="838"/>
      <c r="D1" s="1206" t="s">
        <v>34</v>
      </c>
      <c r="E1" s="1206"/>
      <c r="F1" s="1206"/>
      <c r="G1" s="1206"/>
      <c r="H1" s="1206"/>
      <c r="I1" s="1206"/>
      <c r="J1" s="1206"/>
      <c r="K1" s="1206"/>
    </row>
    <row r="2" spans="1:11" ht="57.75" customHeight="1" x14ac:dyDescent="0.3">
      <c r="A2" s="839"/>
      <c r="B2" s="840"/>
      <c r="C2" s="841"/>
      <c r="D2" s="848" t="s">
        <v>80</v>
      </c>
      <c r="E2" s="848"/>
      <c r="F2" s="848"/>
      <c r="G2" s="848"/>
      <c r="H2" s="848"/>
      <c r="I2" s="848"/>
      <c r="J2" s="848"/>
      <c r="K2" s="848"/>
    </row>
    <row r="3" spans="1:11" ht="30.75" customHeight="1" x14ac:dyDescent="0.3">
      <c r="A3" s="839"/>
      <c r="B3" s="840"/>
      <c r="C3" s="841"/>
      <c r="D3" s="848" t="s">
        <v>78</v>
      </c>
      <c r="E3" s="848"/>
      <c r="F3" s="848"/>
      <c r="G3" s="848"/>
      <c r="H3" s="848"/>
      <c r="I3" s="848"/>
      <c r="J3" s="848"/>
      <c r="K3" s="848"/>
    </row>
    <row r="4" spans="1:11" ht="32.25" customHeight="1" x14ac:dyDescent="0.3">
      <c r="A4" s="839"/>
      <c r="B4" s="840"/>
      <c r="C4" s="841"/>
      <c r="D4" s="1207" t="s">
        <v>563</v>
      </c>
      <c r="E4" s="1207"/>
      <c r="F4" s="1207"/>
      <c r="G4" s="1207"/>
      <c r="H4" s="1207"/>
      <c r="I4" s="1207"/>
      <c r="J4" s="1207"/>
      <c r="K4" s="1207"/>
    </row>
    <row r="5" spans="1:11" x14ac:dyDescent="0.3">
      <c r="A5" s="842"/>
      <c r="B5" s="843"/>
      <c r="C5" s="844"/>
      <c r="D5" s="853" t="s">
        <v>188</v>
      </c>
      <c r="E5" s="853"/>
      <c r="F5" s="853"/>
      <c r="G5" s="853"/>
      <c r="H5" s="853"/>
      <c r="I5" s="853"/>
      <c r="J5" s="853"/>
      <c r="K5" s="853"/>
    </row>
    <row r="6" spans="1:11" x14ac:dyDescent="0.3">
      <c r="A6" s="127"/>
      <c r="B6" s="127"/>
      <c r="C6" s="127"/>
      <c r="D6" s="127"/>
      <c r="E6" s="128"/>
      <c r="F6" s="129"/>
      <c r="G6" s="127"/>
      <c r="H6" s="127"/>
      <c r="I6" s="127"/>
      <c r="J6" s="127"/>
      <c r="K6" s="127"/>
    </row>
    <row r="7" spans="1:11" ht="16.5" customHeight="1" x14ac:dyDescent="0.3">
      <c r="A7" s="1166" t="s">
        <v>185</v>
      </c>
      <c r="B7" s="1167"/>
      <c r="C7" s="1167"/>
      <c r="D7" s="1167"/>
      <c r="E7" s="1167"/>
      <c r="F7" s="1167"/>
      <c r="G7" s="1167"/>
      <c r="H7" s="1167"/>
      <c r="I7" s="127"/>
      <c r="J7" s="127"/>
      <c r="K7" s="127"/>
    </row>
    <row r="8" spans="1:11" x14ac:dyDescent="0.3">
      <c r="A8" s="127"/>
      <c r="B8" s="127"/>
      <c r="C8" s="127"/>
      <c r="D8" s="127"/>
      <c r="E8" s="128"/>
      <c r="F8" s="129"/>
      <c r="G8" s="127"/>
      <c r="H8" s="127"/>
      <c r="I8" s="127"/>
      <c r="J8" s="127"/>
      <c r="K8" s="127"/>
    </row>
    <row r="9" spans="1:11" x14ac:dyDescent="0.3">
      <c r="A9" s="1147" t="s">
        <v>603</v>
      </c>
      <c r="B9" s="1147"/>
      <c r="C9" s="1147"/>
      <c r="D9" s="1147"/>
      <c r="E9" s="1147"/>
      <c r="F9" s="1147"/>
      <c r="G9" s="1147"/>
      <c r="H9" s="1147"/>
      <c r="I9" s="1147"/>
      <c r="J9" s="156"/>
      <c r="K9" s="156"/>
    </row>
    <row r="10" spans="1:11" x14ac:dyDescent="0.3">
      <c r="A10" s="130"/>
      <c r="B10" s="130"/>
      <c r="C10" s="130"/>
      <c r="D10" s="130"/>
      <c r="E10" s="131"/>
      <c r="F10" s="129"/>
      <c r="G10" s="127"/>
      <c r="H10" s="127"/>
      <c r="I10" s="127"/>
      <c r="J10" s="127"/>
      <c r="K10" s="127"/>
    </row>
    <row r="11" spans="1:11" x14ac:dyDescent="0.3">
      <c r="A11" s="132" t="e">
        <f>+PRESUPUESTO!#REF!</f>
        <v>#REF!</v>
      </c>
      <c r="B11" s="1171" t="e">
        <f>+PRESUPUESTO!#REF!</f>
        <v>#REF!</v>
      </c>
      <c r="C11" s="1172"/>
      <c r="D11" s="1172"/>
      <c r="E11" s="1172"/>
      <c r="F11" s="1172"/>
      <c r="G11" s="1172"/>
      <c r="H11" s="133" t="e">
        <f>+PRESUPUESTO!#REF!</f>
        <v>#REF!</v>
      </c>
      <c r="I11" s="127"/>
      <c r="J11" s="127"/>
      <c r="K11" s="127"/>
    </row>
    <row r="12" spans="1:11" x14ac:dyDescent="0.3">
      <c r="A12" s="130"/>
      <c r="B12" s="1143" t="s">
        <v>553</v>
      </c>
      <c r="C12" s="1143"/>
      <c r="D12" s="1143"/>
      <c r="E12" s="1143"/>
      <c r="F12" s="134" t="s">
        <v>561</v>
      </c>
      <c r="G12" s="134" t="s">
        <v>560</v>
      </c>
      <c r="H12" s="134" t="s">
        <v>554</v>
      </c>
      <c r="I12" s="127"/>
      <c r="J12" s="127"/>
      <c r="K12" s="127"/>
    </row>
    <row r="13" spans="1:11" x14ac:dyDescent="0.3">
      <c r="A13" s="130"/>
      <c r="B13" s="1159" t="s">
        <v>203</v>
      </c>
      <c r="C13" s="1160"/>
      <c r="D13" s="1160"/>
      <c r="E13" s="1161"/>
      <c r="F13" s="136">
        <v>6</v>
      </c>
      <c r="G13" s="136">
        <v>12</v>
      </c>
      <c r="H13" s="137">
        <f>+F13*G13</f>
        <v>72</v>
      </c>
      <c r="I13" s="127"/>
      <c r="J13" s="127"/>
      <c r="K13" s="127"/>
    </row>
    <row r="14" spans="1:11" x14ac:dyDescent="0.3">
      <c r="A14" s="130"/>
      <c r="B14" s="1137" t="s">
        <v>496</v>
      </c>
      <c r="C14" s="1138"/>
      <c r="D14" s="1138"/>
      <c r="E14" s="1138"/>
      <c r="F14" s="1138"/>
      <c r="G14" s="1139"/>
      <c r="H14" s="139">
        <f>+H13</f>
        <v>72</v>
      </c>
      <c r="I14" s="127"/>
      <c r="J14" s="127"/>
      <c r="K14" s="127"/>
    </row>
    <row r="15" spans="1:11" x14ac:dyDescent="0.3">
      <c r="A15" s="130"/>
      <c r="B15" s="130"/>
      <c r="C15" s="130"/>
      <c r="D15" s="130"/>
      <c r="E15" s="131"/>
      <c r="F15" s="129"/>
      <c r="G15" s="127"/>
      <c r="H15" s="127"/>
      <c r="I15" s="127"/>
      <c r="J15" s="127"/>
      <c r="K15" s="127"/>
    </row>
    <row r="16" spans="1:11" ht="16.5" customHeight="1" x14ac:dyDescent="0.3">
      <c r="A16" s="132" t="str">
        <f>+PRESUPUESTO!B10</f>
        <v>EPA0013</v>
      </c>
      <c r="B16" s="1208" t="str">
        <f>+PRESUPUESTO!C10</f>
        <v>LOCALIZACIÓN Y REPLANTEO DE CONDUCCIONES</v>
      </c>
      <c r="C16" s="1209"/>
      <c r="D16" s="1209"/>
      <c r="E16" s="1209"/>
      <c r="F16" s="133" t="str">
        <f>+PRESUPUESTO!D10</f>
        <v>m</v>
      </c>
      <c r="I16" s="127"/>
      <c r="J16" s="127"/>
      <c r="K16" s="127"/>
    </row>
    <row r="17" spans="1:11" x14ac:dyDescent="0.3">
      <c r="A17" s="130"/>
      <c r="B17" s="1143" t="s">
        <v>553</v>
      </c>
      <c r="C17" s="1143"/>
      <c r="D17" s="1143"/>
      <c r="E17" s="1210"/>
      <c r="F17" s="135" t="s">
        <v>564</v>
      </c>
      <c r="G17" s="152"/>
      <c r="H17" s="152"/>
      <c r="I17" s="127"/>
      <c r="J17" s="127"/>
      <c r="K17" s="127"/>
    </row>
    <row r="18" spans="1:11" x14ac:dyDescent="0.3">
      <c r="A18" s="130"/>
      <c r="B18" s="1159" t="s">
        <v>565</v>
      </c>
      <c r="C18" s="1160"/>
      <c r="D18" s="1160"/>
      <c r="E18" s="1160"/>
      <c r="F18" s="136">
        <v>323.3</v>
      </c>
      <c r="G18" s="153"/>
      <c r="H18" s="154"/>
      <c r="I18" s="127"/>
      <c r="J18" s="127"/>
      <c r="K18" s="127"/>
    </row>
    <row r="19" spans="1:11" ht="16.5" customHeight="1" x14ac:dyDescent="0.3">
      <c r="A19" s="130"/>
      <c r="B19" s="1159" t="s">
        <v>566</v>
      </c>
      <c r="C19" s="1160"/>
      <c r="D19" s="1160"/>
      <c r="E19" s="1160"/>
      <c r="F19" s="136">
        <v>15</v>
      </c>
      <c r="G19" s="153"/>
      <c r="H19" s="154"/>
      <c r="I19" s="127"/>
      <c r="J19" s="127"/>
      <c r="K19" s="127"/>
    </row>
    <row r="20" spans="1:11" x14ac:dyDescent="0.3">
      <c r="A20" s="130"/>
      <c r="B20" s="1137" t="s">
        <v>496</v>
      </c>
      <c r="C20" s="1138"/>
      <c r="D20" s="1138"/>
      <c r="E20" s="1138"/>
      <c r="F20" s="142">
        <f>SUM(F18:F19)</f>
        <v>338.3</v>
      </c>
      <c r="G20" s="155"/>
      <c r="H20" s="143"/>
      <c r="I20" s="127"/>
      <c r="J20" s="127"/>
      <c r="K20" s="127"/>
    </row>
    <row r="21" spans="1:11" x14ac:dyDescent="0.3">
      <c r="A21" s="130"/>
      <c r="B21" s="130"/>
      <c r="C21" s="130"/>
      <c r="D21" s="130"/>
      <c r="E21" s="131"/>
      <c r="F21" s="129"/>
      <c r="G21" s="127"/>
      <c r="H21" s="127"/>
      <c r="I21" s="127"/>
      <c r="J21" s="127"/>
      <c r="K21" s="127"/>
    </row>
    <row r="22" spans="1:11" ht="16.5" customHeight="1" x14ac:dyDescent="0.3">
      <c r="A22" s="132" t="str">
        <f>+PRESUPUESTO!B11</f>
        <v>EPA0015</v>
      </c>
      <c r="B22" s="1171" t="str">
        <f>+PRESUPUESTO!C11</f>
        <v>LOCALIZACIÓN Y REPLANTEO PARA ESTRUCTURAS</v>
      </c>
      <c r="C22" s="1172"/>
      <c r="D22" s="1172"/>
      <c r="E22" s="1172"/>
      <c r="F22" s="1173"/>
      <c r="G22" s="133" t="str">
        <f>+PRESUPUESTO!D11</f>
        <v>m2</v>
      </c>
      <c r="H22" s="127"/>
      <c r="I22" s="127"/>
      <c r="J22" s="127"/>
      <c r="K22" s="127"/>
    </row>
    <row r="23" spans="1:11" x14ac:dyDescent="0.3">
      <c r="A23" s="130"/>
      <c r="B23" s="130"/>
      <c r="C23" s="130"/>
      <c r="D23" s="130"/>
      <c r="E23" s="131"/>
      <c r="F23" s="129"/>
      <c r="G23" s="127"/>
      <c r="H23" s="127"/>
      <c r="I23" s="127"/>
      <c r="J23" s="127"/>
      <c r="K23" s="127"/>
    </row>
    <row r="24" spans="1:11" ht="16.5" customHeight="1" x14ac:dyDescent="0.3">
      <c r="B24" s="1208" t="s">
        <v>577</v>
      </c>
      <c r="C24" s="1209"/>
      <c r="D24" s="1209"/>
      <c r="E24" s="1209"/>
      <c r="F24" s="1209"/>
      <c r="G24" s="133" t="str">
        <f>+PRESUPUESTO!D11</f>
        <v>m2</v>
      </c>
      <c r="I24" s="127"/>
      <c r="J24" s="127"/>
      <c r="K24" s="127"/>
    </row>
    <row r="25" spans="1:11" x14ac:dyDescent="0.3">
      <c r="A25" s="130"/>
      <c r="B25" s="1143" t="s">
        <v>553</v>
      </c>
      <c r="C25" s="1143"/>
      <c r="D25" s="1143"/>
      <c r="E25" s="1143"/>
      <c r="F25" s="134" t="s">
        <v>571</v>
      </c>
      <c r="G25" s="134" t="s">
        <v>554</v>
      </c>
      <c r="I25" s="127"/>
      <c r="J25" s="127"/>
      <c r="K25" s="127"/>
    </row>
    <row r="26" spans="1:11" x14ac:dyDescent="0.3">
      <c r="A26" s="130"/>
      <c r="B26" s="1159" t="s">
        <v>570</v>
      </c>
      <c r="C26" s="1160"/>
      <c r="D26" s="1160"/>
      <c r="E26" s="1161"/>
      <c r="F26" s="136"/>
      <c r="G26" s="137">
        <v>3.92</v>
      </c>
      <c r="I26" s="127"/>
      <c r="J26" s="127"/>
      <c r="K26" s="127"/>
    </row>
    <row r="27" spans="1:11" x14ac:dyDescent="0.3">
      <c r="A27" s="130"/>
      <c r="B27" s="1159" t="s">
        <v>567</v>
      </c>
      <c r="C27" s="1160"/>
      <c r="D27" s="1160"/>
      <c r="E27" s="1161"/>
      <c r="F27" s="136">
        <v>1.5</v>
      </c>
      <c r="G27" s="137">
        <f>+PI()*F27*F27/4</f>
        <v>1.7671458676442586</v>
      </c>
      <c r="I27" s="127"/>
      <c r="J27" s="127"/>
      <c r="K27" s="127"/>
    </row>
    <row r="28" spans="1:11" x14ac:dyDescent="0.3">
      <c r="A28" s="130"/>
      <c r="B28" s="1159" t="s">
        <v>568</v>
      </c>
      <c r="C28" s="1160"/>
      <c r="D28" s="1160"/>
      <c r="E28" s="1161"/>
      <c r="F28" s="136">
        <v>1.5</v>
      </c>
      <c r="G28" s="137">
        <f t="shared" ref="G28:G33" si="0">+PI()*F28*F28/4</f>
        <v>1.7671458676442586</v>
      </c>
      <c r="I28" s="127"/>
      <c r="J28" s="127"/>
      <c r="K28" s="127"/>
    </row>
    <row r="29" spans="1:11" x14ac:dyDescent="0.3">
      <c r="A29" s="130"/>
      <c r="B29" s="1159" t="s">
        <v>569</v>
      </c>
      <c r="C29" s="1160"/>
      <c r="D29" s="1160"/>
      <c r="E29" s="1161"/>
      <c r="F29" s="136">
        <v>1.5</v>
      </c>
      <c r="G29" s="137">
        <f t="shared" si="0"/>
        <v>1.7671458676442586</v>
      </c>
      <c r="I29" s="127"/>
      <c r="J29" s="127"/>
      <c r="K29" s="127"/>
    </row>
    <row r="30" spans="1:11" ht="16.5" customHeight="1" x14ac:dyDescent="0.3">
      <c r="A30" s="130"/>
      <c r="B30" s="1159" t="s">
        <v>572</v>
      </c>
      <c r="C30" s="1160"/>
      <c r="D30" s="1160"/>
      <c r="E30" s="1161"/>
      <c r="F30" s="136">
        <v>1.5</v>
      </c>
      <c r="G30" s="137">
        <f t="shared" si="0"/>
        <v>1.7671458676442586</v>
      </c>
      <c r="I30" s="127"/>
      <c r="J30" s="127"/>
      <c r="K30" s="127"/>
    </row>
    <row r="31" spans="1:11" x14ac:dyDescent="0.3">
      <c r="A31" s="130"/>
      <c r="B31" s="1159" t="s">
        <v>573</v>
      </c>
      <c r="C31" s="1160"/>
      <c r="D31" s="1160"/>
      <c r="E31" s="1161"/>
      <c r="F31" s="136">
        <v>1.5</v>
      </c>
      <c r="G31" s="137">
        <f t="shared" si="0"/>
        <v>1.7671458676442586</v>
      </c>
      <c r="I31" s="127"/>
      <c r="J31" s="127"/>
      <c r="K31" s="127"/>
    </row>
    <row r="32" spans="1:11" x14ac:dyDescent="0.3">
      <c r="A32" s="130"/>
      <c r="B32" s="1159" t="s">
        <v>574</v>
      </c>
      <c r="C32" s="1160"/>
      <c r="D32" s="1160"/>
      <c r="E32" s="1161"/>
      <c r="F32" s="136">
        <v>1.5</v>
      </c>
      <c r="G32" s="137">
        <f t="shared" si="0"/>
        <v>1.7671458676442586</v>
      </c>
      <c r="I32" s="127"/>
      <c r="J32" s="127"/>
      <c r="K32" s="127"/>
    </row>
    <row r="33" spans="1:11" x14ac:dyDescent="0.3">
      <c r="A33" s="130"/>
      <c r="B33" s="1159" t="s">
        <v>575</v>
      </c>
      <c r="C33" s="1160"/>
      <c r="D33" s="1160"/>
      <c r="E33" s="1161"/>
      <c r="F33" s="136">
        <v>1.5</v>
      </c>
      <c r="G33" s="137">
        <f t="shared" si="0"/>
        <v>1.7671458676442586</v>
      </c>
      <c r="I33" s="127"/>
      <c r="J33" s="127"/>
      <c r="K33" s="127"/>
    </row>
    <row r="34" spans="1:11" x14ac:dyDescent="0.3">
      <c r="A34" s="130"/>
      <c r="B34" s="1159" t="s">
        <v>576</v>
      </c>
      <c r="C34" s="1160"/>
      <c r="D34" s="1160"/>
      <c r="E34" s="1161"/>
      <c r="F34" s="136"/>
      <c r="G34" s="137">
        <v>4.01</v>
      </c>
      <c r="I34" s="127"/>
      <c r="J34" s="127"/>
      <c r="K34" s="127"/>
    </row>
    <row r="35" spans="1:11" x14ac:dyDescent="0.3">
      <c r="A35" s="130"/>
      <c r="B35" s="1137" t="s">
        <v>584</v>
      </c>
      <c r="C35" s="1138"/>
      <c r="D35" s="1138"/>
      <c r="E35" s="1138"/>
      <c r="F35" s="1138"/>
      <c r="G35" s="139">
        <f>SUM(G26:G34)</f>
        <v>20.300021073509811</v>
      </c>
      <c r="I35" s="127"/>
      <c r="J35" s="127"/>
      <c r="K35" s="127"/>
    </row>
    <row r="36" spans="1:11" x14ac:dyDescent="0.3">
      <c r="A36" s="130"/>
      <c r="B36" s="129"/>
      <c r="C36" s="129"/>
      <c r="D36" s="129"/>
      <c r="E36" s="129"/>
      <c r="F36" s="129"/>
      <c r="G36" s="143"/>
      <c r="I36" s="127"/>
      <c r="J36" s="127"/>
      <c r="K36" s="127"/>
    </row>
    <row r="37" spans="1:11" x14ac:dyDescent="0.3">
      <c r="A37" s="130"/>
      <c r="B37" s="1148" t="s">
        <v>585</v>
      </c>
      <c r="C37" s="1148"/>
      <c r="D37" s="1148"/>
      <c r="E37" s="1148"/>
      <c r="F37" s="1148"/>
      <c r="G37" s="1148"/>
      <c r="H37" s="133" t="s">
        <v>4</v>
      </c>
      <c r="I37" s="127"/>
      <c r="J37" s="127"/>
      <c r="K37" s="127"/>
    </row>
    <row r="38" spans="1:11" x14ac:dyDescent="0.3">
      <c r="A38" s="130"/>
      <c r="B38" s="1164" t="s">
        <v>553</v>
      </c>
      <c r="C38" s="1164"/>
      <c r="D38" s="1164"/>
      <c r="E38" s="1164"/>
      <c r="F38" s="134" t="s">
        <v>564</v>
      </c>
      <c r="G38" s="134" t="s">
        <v>560</v>
      </c>
      <c r="H38" s="134" t="s">
        <v>554</v>
      </c>
      <c r="I38" s="127"/>
      <c r="J38" s="127"/>
      <c r="K38" s="127"/>
    </row>
    <row r="39" spans="1:11" x14ac:dyDescent="0.3">
      <c r="A39" s="130"/>
      <c r="B39" s="1159" t="s">
        <v>578</v>
      </c>
      <c r="C39" s="1160"/>
      <c r="D39" s="1160"/>
      <c r="E39" s="1161"/>
      <c r="F39" s="136">
        <v>20</v>
      </c>
      <c r="G39" s="136">
        <v>20</v>
      </c>
      <c r="H39" s="136">
        <f>+F39*G39</f>
        <v>400</v>
      </c>
      <c r="I39" s="127"/>
      <c r="J39" s="127"/>
      <c r="K39" s="127"/>
    </row>
    <row r="40" spans="1:11" ht="18.75" customHeight="1" x14ac:dyDescent="0.3">
      <c r="A40" s="130"/>
      <c r="B40" s="1159" t="s">
        <v>579</v>
      </c>
      <c r="C40" s="1160"/>
      <c r="D40" s="1160"/>
      <c r="E40" s="1161"/>
      <c r="F40" s="149">
        <v>5.6885654075689773</v>
      </c>
      <c r="G40" s="136">
        <v>3.5</v>
      </c>
      <c r="H40" s="141">
        <f>+F40*G40</f>
        <v>19.909978926491419</v>
      </c>
      <c r="I40" s="127"/>
      <c r="J40" s="127"/>
      <c r="K40" s="127"/>
    </row>
    <row r="41" spans="1:11" ht="33.75" customHeight="1" x14ac:dyDescent="0.3">
      <c r="A41" s="130"/>
      <c r="B41" s="1184" t="s">
        <v>580</v>
      </c>
      <c r="C41" s="1184"/>
      <c r="D41" s="1184"/>
      <c r="E41" s="1184"/>
      <c r="F41" s="150"/>
      <c r="G41" s="158"/>
      <c r="H41" s="136">
        <v>27.47</v>
      </c>
      <c r="I41" s="127"/>
      <c r="J41" s="127"/>
      <c r="K41" s="127"/>
    </row>
    <row r="42" spans="1:11" ht="33" customHeight="1" x14ac:dyDescent="0.3">
      <c r="A42" s="130"/>
      <c r="B42" s="1184" t="s">
        <v>581</v>
      </c>
      <c r="C42" s="1184"/>
      <c r="D42" s="1184"/>
      <c r="E42" s="1184"/>
      <c r="F42" s="150"/>
      <c r="G42" s="158"/>
      <c r="H42" s="136">
        <v>21.21</v>
      </c>
      <c r="I42" s="127"/>
      <c r="J42" s="127"/>
      <c r="K42" s="127"/>
    </row>
    <row r="43" spans="1:11" ht="33" customHeight="1" x14ac:dyDescent="0.3">
      <c r="A43" s="130"/>
      <c r="B43" s="1184" t="s">
        <v>582</v>
      </c>
      <c r="C43" s="1184"/>
      <c r="D43" s="1184"/>
      <c r="E43" s="1184"/>
      <c r="F43" s="150"/>
      <c r="G43" s="158"/>
      <c r="H43" s="136">
        <v>15.8</v>
      </c>
      <c r="I43" s="127"/>
      <c r="J43" s="127"/>
      <c r="K43" s="127"/>
    </row>
    <row r="44" spans="1:11" ht="33" customHeight="1" x14ac:dyDescent="0.3">
      <c r="A44" s="130"/>
      <c r="B44" s="1184" t="s">
        <v>583</v>
      </c>
      <c r="C44" s="1184"/>
      <c r="D44" s="1184"/>
      <c r="E44" s="1184"/>
      <c r="F44" s="150"/>
      <c r="G44" s="158"/>
      <c r="H44" s="136">
        <v>16.809999999999999</v>
      </c>
      <c r="I44" s="127"/>
      <c r="J44" s="127"/>
      <c r="K44" s="127"/>
    </row>
    <row r="45" spans="1:11" x14ac:dyDescent="0.3">
      <c r="A45" s="130"/>
      <c r="B45" s="1146" t="s">
        <v>584</v>
      </c>
      <c r="C45" s="1146"/>
      <c r="D45" s="1146"/>
      <c r="E45" s="1146"/>
      <c r="F45" s="1146"/>
      <c r="G45" s="1146"/>
      <c r="H45" s="139">
        <f>SUM(H39:H44)</f>
        <v>501.19997892649138</v>
      </c>
      <c r="I45" s="127"/>
      <c r="J45" s="127"/>
      <c r="K45" s="127"/>
    </row>
    <row r="46" spans="1:11" x14ac:dyDescent="0.3">
      <c r="A46" s="130"/>
      <c r="B46" s="129"/>
      <c r="C46" s="129"/>
      <c r="D46" s="129"/>
      <c r="E46" s="129"/>
      <c r="F46" s="129"/>
      <c r="G46" s="143"/>
      <c r="I46" s="127"/>
      <c r="J46" s="127"/>
      <c r="K46" s="127"/>
    </row>
    <row r="47" spans="1:11" ht="16.5" customHeight="1" x14ac:dyDescent="0.3">
      <c r="A47" s="132" t="str">
        <f>+A22</f>
        <v>EPA0015</v>
      </c>
      <c r="B47" s="1148" t="str">
        <f>+B22</f>
        <v>LOCALIZACIÓN Y REPLANTEO PARA ESTRUCTURAS</v>
      </c>
      <c r="C47" s="1148"/>
      <c r="D47" s="1148"/>
      <c r="E47" s="1148"/>
      <c r="F47" s="1148"/>
      <c r="G47" s="1148"/>
      <c r="H47" s="133" t="str">
        <f>+G22</f>
        <v>m2</v>
      </c>
      <c r="I47" s="127"/>
      <c r="J47" s="127"/>
      <c r="K47" s="127"/>
    </row>
    <row r="48" spans="1:11" x14ac:dyDescent="0.3">
      <c r="A48" s="130"/>
      <c r="B48" s="1183" t="str">
        <f>+B24</f>
        <v>LOCALIZACIÓN Y REPLANTEO CAMARAS DE INSPECCION</v>
      </c>
      <c r="C48" s="1183"/>
      <c r="D48" s="1183"/>
      <c r="E48" s="1183"/>
      <c r="F48" s="1183"/>
      <c r="G48" s="1183"/>
      <c r="H48" s="141">
        <f>+G35</f>
        <v>20.300021073509811</v>
      </c>
      <c r="I48" s="127"/>
      <c r="J48" s="127"/>
      <c r="K48" s="127"/>
    </row>
    <row r="49" spans="1:11" x14ac:dyDescent="0.3">
      <c r="A49" s="130"/>
      <c r="B49" s="1183" t="str">
        <f>+B37</f>
        <v>LOCALIZACIÓN Y REPLANTEO PARA ESTRUCTURAS OBRAS PRELIMINAES</v>
      </c>
      <c r="C49" s="1183"/>
      <c r="D49" s="1183"/>
      <c r="E49" s="1183"/>
      <c r="F49" s="1183"/>
      <c r="G49" s="1183"/>
      <c r="H49" s="141">
        <f>+H45</f>
        <v>501.19997892649138</v>
      </c>
      <c r="I49" s="127"/>
      <c r="J49" s="127"/>
      <c r="K49" s="127"/>
    </row>
    <row r="50" spans="1:11" x14ac:dyDescent="0.3">
      <c r="A50" s="130"/>
      <c r="B50" s="1146" t="s">
        <v>496</v>
      </c>
      <c r="C50" s="1146"/>
      <c r="D50" s="1146"/>
      <c r="E50" s="1146"/>
      <c r="F50" s="1146"/>
      <c r="G50" s="1146"/>
      <c r="H50" s="139">
        <f>SUM(H48:H49)</f>
        <v>521.50000000000114</v>
      </c>
      <c r="I50" s="127"/>
      <c r="J50" s="127"/>
      <c r="K50" s="127"/>
    </row>
    <row r="51" spans="1:11" x14ac:dyDescent="0.3">
      <c r="A51" s="130"/>
      <c r="B51" s="129"/>
      <c r="C51" s="129"/>
      <c r="D51" s="129"/>
      <c r="E51" s="129"/>
      <c r="F51" s="129"/>
      <c r="G51" s="143"/>
      <c r="I51" s="127"/>
      <c r="J51" s="127"/>
      <c r="K51" s="127"/>
    </row>
    <row r="52" spans="1:11" x14ac:dyDescent="0.3">
      <c r="A52" s="130"/>
      <c r="B52" s="129"/>
      <c r="C52" s="129"/>
      <c r="D52" s="129"/>
      <c r="E52" s="129"/>
      <c r="F52" s="129"/>
      <c r="G52" s="143"/>
      <c r="I52" s="127"/>
      <c r="J52" s="127"/>
      <c r="K52" s="127"/>
    </row>
    <row r="53" spans="1:11" ht="33" customHeight="1" x14ac:dyDescent="0.3">
      <c r="A53" s="132" t="str">
        <f>+PRESUPUESTO!B12</f>
        <v>VAR21</v>
      </c>
      <c r="B53" s="1171" t="str">
        <f>+PRESUPUESTO!C12</f>
        <v>DESCUMBRE, LIMPIEZA, ROCERÍA Y EVACUACIÓN DE BASURAS</v>
      </c>
      <c r="C53" s="1172"/>
      <c r="D53" s="1172"/>
      <c r="E53" s="1173"/>
      <c r="F53" s="133" t="s">
        <v>5</v>
      </c>
      <c r="G53" s="146"/>
      <c r="I53" s="127"/>
      <c r="J53" s="127"/>
      <c r="K53" s="127"/>
    </row>
    <row r="54" spans="1:11" x14ac:dyDescent="0.3">
      <c r="A54" s="130"/>
      <c r="B54" s="1164" t="s">
        <v>553</v>
      </c>
      <c r="C54" s="1164"/>
      <c r="D54" s="1164"/>
      <c r="E54" s="1165"/>
      <c r="F54" s="135" t="s">
        <v>564</v>
      </c>
      <c r="G54" s="152"/>
      <c r="I54" s="127"/>
      <c r="J54" s="127"/>
      <c r="K54" s="127"/>
    </row>
    <row r="55" spans="1:11" ht="16.5" customHeight="1" x14ac:dyDescent="0.3">
      <c r="A55" s="130"/>
      <c r="B55" s="1159" t="s">
        <v>586</v>
      </c>
      <c r="C55" s="1160"/>
      <c r="D55" s="1160"/>
      <c r="E55" s="1160"/>
      <c r="F55" s="136">
        <v>74</v>
      </c>
      <c r="G55" s="153"/>
      <c r="I55" s="127"/>
      <c r="J55" s="127"/>
      <c r="K55" s="127"/>
    </row>
    <row r="56" spans="1:11" ht="16.5" customHeight="1" x14ac:dyDescent="0.3">
      <c r="A56" s="130"/>
      <c r="B56" s="1159" t="s">
        <v>587</v>
      </c>
      <c r="C56" s="1160"/>
      <c r="D56" s="1160"/>
      <c r="E56" s="1160"/>
      <c r="F56" s="136">
        <v>313</v>
      </c>
      <c r="G56" s="153"/>
      <c r="I56" s="127"/>
      <c r="J56" s="127"/>
      <c r="K56" s="127"/>
    </row>
    <row r="57" spans="1:11" x14ac:dyDescent="0.3">
      <c r="A57" s="130"/>
      <c r="B57" s="1146" t="s">
        <v>496</v>
      </c>
      <c r="C57" s="1146"/>
      <c r="D57" s="1146"/>
      <c r="E57" s="1146"/>
      <c r="F57" s="139">
        <f>SUM(F55:F56)</f>
        <v>387</v>
      </c>
      <c r="G57" s="143"/>
      <c r="I57" s="127"/>
      <c r="J57" s="127"/>
      <c r="K57" s="127"/>
    </row>
    <row r="58" spans="1:11" x14ac:dyDescent="0.3">
      <c r="A58" s="130"/>
      <c r="B58" s="130"/>
      <c r="C58" s="130"/>
      <c r="D58" s="130"/>
      <c r="E58" s="131"/>
      <c r="F58" s="129"/>
      <c r="G58" s="127"/>
      <c r="H58" s="127"/>
      <c r="I58" s="127"/>
      <c r="J58" s="127"/>
      <c r="K58" s="127"/>
    </row>
    <row r="59" spans="1:11" ht="33" customHeight="1" x14ac:dyDescent="0.3">
      <c r="A59" s="132" t="str">
        <f>+PRESUPUESTO!B13</f>
        <v>ITE7738</v>
      </c>
      <c r="B59" s="1148" t="str">
        <f>+PRESUPUESTO!C13</f>
        <v>DESCUMBRE, LIMPIEZA, ROCERÍA Y EVACUACIÓN DE BASURAS, PARA PATIOS DE MANIOBRA</v>
      </c>
      <c r="C59" s="1148"/>
      <c r="D59" s="1148"/>
      <c r="E59" s="1148"/>
      <c r="F59" s="1148"/>
      <c r="G59" s="1148"/>
      <c r="H59" s="133" t="str">
        <f>+PRESUPUESTO!D13</f>
        <v>m2</v>
      </c>
      <c r="I59" s="127"/>
      <c r="J59" s="127"/>
      <c r="K59" s="127"/>
    </row>
    <row r="60" spans="1:11" x14ac:dyDescent="0.3">
      <c r="A60" s="130"/>
      <c r="B60" s="1164" t="s">
        <v>553</v>
      </c>
      <c r="C60" s="1164"/>
      <c r="D60" s="1164"/>
      <c r="E60" s="1164"/>
      <c r="F60" s="134" t="s">
        <v>564</v>
      </c>
      <c r="G60" s="134" t="s">
        <v>560</v>
      </c>
      <c r="H60" s="134" t="s">
        <v>554</v>
      </c>
      <c r="I60" s="127"/>
      <c r="J60" s="127"/>
      <c r="K60" s="127"/>
    </row>
    <row r="61" spans="1:11" ht="33.75" customHeight="1" x14ac:dyDescent="0.3">
      <c r="A61" s="130"/>
      <c r="B61" s="1159" t="s">
        <v>588</v>
      </c>
      <c r="C61" s="1160"/>
      <c r="D61" s="1160"/>
      <c r="E61" s="1161"/>
      <c r="F61" s="136">
        <v>50</v>
      </c>
      <c r="G61" s="136">
        <v>20</v>
      </c>
      <c r="H61" s="136">
        <f>+F61*G61</f>
        <v>1000</v>
      </c>
      <c r="I61" s="127"/>
      <c r="J61" s="127"/>
      <c r="K61" s="127"/>
    </row>
    <row r="62" spans="1:11" ht="16.5" customHeight="1" x14ac:dyDescent="0.3">
      <c r="A62" s="130"/>
      <c r="B62" s="1159" t="s">
        <v>589</v>
      </c>
      <c r="C62" s="1160"/>
      <c r="D62" s="1160"/>
      <c r="E62" s="1161"/>
      <c r="F62" s="136">
        <v>8</v>
      </c>
      <c r="G62" s="136">
        <v>5</v>
      </c>
      <c r="H62" s="136">
        <f t="shared" ref="H62:H65" si="1">+F62*G62</f>
        <v>40</v>
      </c>
      <c r="I62" s="127"/>
      <c r="J62" s="127"/>
      <c r="K62" s="127"/>
    </row>
    <row r="63" spans="1:11" ht="16.5" customHeight="1" x14ac:dyDescent="0.3">
      <c r="A63" s="130"/>
      <c r="B63" s="1159" t="s">
        <v>590</v>
      </c>
      <c r="C63" s="1160"/>
      <c r="D63" s="1160"/>
      <c r="E63" s="1161"/>
      <c r="F63" s="136">
        <v>4</v>
      </c>
      <c r="G63" s="136">
        <v>4</v>
      </c>
      <c r="H63" s="136">
        <f t="shared" si="1"/>
        <v>16</v>
      </c>
      <c r="I63" s="127"/>
      <c r="J63" s="127"/>
      <c r="K63" s="127"/>
    </row>
    <row r="64" spans="1:11" ht="16.5" customHeight="1" x14ac:dyDescent="0.3">
      <c r="A64" s="130"/>
      <c r="B64" s="1159" t="s">
        <v>591</v>
      </c>
      <c r="C64" s="1160"/>
      <c r="D64" s="1160"/>
      <c r="E64" s="1161"/>
      <c r="F64" s="136">
        <v>10</v>
      </c>
      <c r="G64" s="136">
        <v>5</v>
      </c>
      <c r="H64" s="136">
        <f t="shared" si="1"/>
        <v>50</v>
      </c>
      <c r="I64" s="127"/>
      <c r="J64" s="127"/>
      <c r="K64" s="127"/>
    </row>
    <row r="65" spans="1:11" ht="16.5" customHeight="1" x14ac:dyDescent="0.3">
      <c r="A65" s="130"/>
      <c r="B65" s="1159" t="s">
        <v>592</v>
      </c>
      <c r="C65" s="1160"/>
      <c r="D65" s="1160"/>
      <c r="E65" s="1161"/>
      <c r="F65" s="149">
        <v>6</v>
      </c>
      <c r="G65" s="136">
        <v>4</v>
      </c>
      <c r="H65" s="136">
        <f t="shared" si="1"/>
        <v>24</v>
      </c>
      <c r="I65" s="127"/>
      <c r="J65" s="127"/>
      <c r="K65" s="127"/>
    </row>
    <row r="66" spans="1:11" x14ac:dyDescent="0.3">
      <c r="A66" s="130"/>
      <c r="B66" s="1146" t="s">
        <v>496</v>
      </c>
      <c r="C66" s="1146"/>
      <c r="D66" s="1146"/>
      <c r="E66" s="1146"/>
      <c r="F66" s="1146"/>
      <c r="G66" s="1146"/>
      <c r="H66" s="139">
        <f>SUM(H61:H65)</f>
        <v>1130</v>
      </c>
      <c r="I66" s="127"/>
      <c r="J66" s="127"/>
      <c r="K66" s="127"/>
    </row>
    <row r="67" spans="1:11" x14ac:dyDescent="0.3">
      <c r="A67" s="130"/>
      <c r="B67" s="130"/>
      <c r="C67" s="130"/>
      <c r="D67" s="130"/>
      <c r="E67" s="131"/>
      <c r="F67" s="129"/>
      <c r="G67" s="127"/>
      <c r="H67" s="127"/>
      <c r="I67" s="127"/>
      <c r="J67" s="127"/>
      <c r="K67" s="127"/>
    </row>
    <row r="68" spans="1:11" ht="48" customHeight="1" x14ac:dyDescent="0.3">
      <c r="A68" s="132" t="str">
        <f>+PRESUPUESTO!B14</f>
        <v>ITE7589</v>
      </c>
      <c r="B68" s="1171" t="str">
        <f>+PRESUPUESTO!C14</f>
        <v>CONSTRUCCIÓN DE SENDERO PARA LA ENTRADA DE PERSONAL Y EQUIPOS MENORES, CON AFIRMADO e= 0.1 m Y ANCHO= 1.0 m</v>
      </c>
      <c r="C68" s="1172"/>
      <c r="D68" s="1172"/>
      <c r="E68" s="1173"/>
      <c r="F68" s="133" t="s">
        <v>5</v>
      </c>
      <c r="G68" s="127"/>
      <c r="H68" s="127"/>
      <c r="I68" s="127"/>
      <c r="J68" s="127"/>
      <c r="K68" s="127"/>
    </row>
    <row r="69" spans="1:11" x14ac:dyDescent="0.3">
      <c r="A69" s="130"/>
      <c r="B69" s="1164" t="s">
        <v>553</v>
      </c>
      <c r="C69" s="1164"/>
      <c r="D69" s="1164"/>
      <c r="E69" s="1165"/>
      <c r="F69" s="135" t="s">
        <v>564</v>
      </c>
      <c r="G69" s="127"/>
      <c r="H69" s="127"/>
      <c r="I69" s="127"/>
      <c r="J69" s="127"/>
      <c r="K69" s="127"/>
    </row>
    <row r="70" spans="1:11" ht="33.75" customHeight="1" x14ac:dyDescent="0.3">
      <c r="A70" s="130"/>
      <c r="B70" s="1159" t="s">
        <v>593</v>
      </c>
      <c r="C70" s="1160"/>
      <c r="D70" s="1160"/>
      <c r="E70" s="1160"/>
      <c r="F70" s="136">
        <v>53</v>
      </c>
      <c r="G70" s="127"/>
      <c r="H70" s="127"/>
      <c r="I70" s="127"/>
      <c r="J70" s="127"/>
      <c r="K70" s="127"/>
    </row>
    <row r="71" spans="1:11" ht="33" customHeight="1" x14ac:dyDescent="0.3">
      <c r="A71" s="130"/>
      <c r="B71" s="1159" t="s">
        <v>594</v>
      </c>
      <c r="C71" s="1160"/>
      <c r="D71" s="1160"/>
      <c r="E71" s="1160"/>
      <c r="F71" s="136">
        <v>21</v>
      </c>
      <c r="G71" s="127"/>
      <c r="H71" s="127"/>
      <c r="I71" s="127"/>
      <c r="J71" s="127"/>
      <c r="K71" s="127"/>
    </row>
    <row r="72" spans="1:11" x14ac:dyDescent="0.3">
      <c r="A72" s="130"/>
      <c r="B72" s="1146" t="s">
        <v>496</v>
      </c>
      <c r="C72" s="1146"/>
      <c r="D72" s="1146"/>
      <c r="E72" s="1146"/>
      <c r="F72" s="139">
        <f>SUM(F70:F71)</f>
        <v>74</v>
      </c>
      <c r="G72" s="127"/>
      <c r="H72" s="127"/>
      <c r="I72" s="127"/>
      <c r="J72" s="127"/>
      <c r="K72" s="127"/>
    </row>
    <row r="73" spans="1:11" x14ac:dyDescent="0.3">
      <c r="A73" s="130"/>
      <c r="B73" s="130"/>
      <c r="C73" s="130"/>
      <c r="D73" s="130"/>
      <c r="E73" s="131"/>
      <c r="F73" s="129"/>
      <c r="G73" s="127"/>
      <c r="H73" s="127"/>
      <c r="I73" s="127"/>
      <c r="J73" s="127"/>
      <c r="K73" s="127"/>
    </row>
    <row r="74" spans="1:11" ht="69.75" customHeight="1" x14ac:dyDescent="0.3">
      <c r="A74" s="132" t="str">
        <f>+PRESUPUESTO!B15</f>
        <v>ITE7730</v>
      </c>
      <c r="B74" s="1148" t="str">
        <f>+PRESUPUESTO!C15</f>
        <v>ADECUACIÓN DE FRANJA DE MOVILIDAD DE PERSONAL Y EQUIPOS SOBRE LA CONDUCCIÓN DE DESVÍO Y DE PATIOS DE MANIOBRA EN EL SECTOR INFERIOR, ANCHO= 2.0 m Y PISO EN AFIRMADO EN GRAVA e=0,10m, INCLUYE TRASIEGO DE MATERIAL CON USO DE TARABITA</v>
      </c>
      <c r="C74" s="1148"/>
      <c r="D74" s="1148"/>
      <c r="E74" s="1148"/>
      <c r="F74" s="1148"/>
      <c r="G74" s="1148"/>
      <c r="H74" s="133" t="str">
        <f>+PRESUPUESTO!D15</f>
        <v>m2</v>
      </c>
      <c r="I74" s="127"/>
      <c r="J74" s="127"/>
      <c r="K74" s="127"/>
    </row>
    <row r="75" spans="1:11" x14ac:dyDescent="0.3">
      <c r="A75" s="130"/>
      <c r="B75" s="1164" t="s">
        <v>553</v>
      </c>
      <c r="C75" s="1164"/>
      <c r="D75" s="1164"/>
      <c r="E75" s="1165"/>
      <c r="F75" s="134" t="s">
        <v>564</v>
      </c>
      <c r="G75" s="134" t="s">
        <v>560</v>
      </c>
      <c r="H75" s="134" t="s">
        <v>554</v>
      </c>
      <c r="I75" s="127"/>
      <c r="J75" s="127"/>
      <c r="K75" s="127"/>
    </row>
    <row r="76" spans="1:11" ht="33" customHeight="1" x14ac:dyDescent="0.3">
      <c r="A76" s="130"/>
      <c r="B76" s="1159" t="s">
        <v>595</v>
      </c>
      <c r="C76" s="1160"/>
      <c r="D76" s="1160"/>
      <c r="E76" s="1160"/>
      <c r="F76" s="136">
        <f>+F56</f>
        <v>313</v>
      </c>
      <c r="G76" s="136">
        <v>2</v>
      </c>
      <c r="H76" s="136">
        <f>+F76*G76</f>
        <v>626</v>
      </c>
      <c r="I76" s="127"/>
      <c r="J76" s="127"/>
      <c r="K76" s="127"/>
    </row>
    <row r="77" spans="1:11" x14ac:dyDescent="0.3">
      <c r="A77" s="130"/>
      <c r="B77" s="1146" t="s">
        <v>496</v>
      </c>
      <c r="C77" s="1146"/>
      <c r="D77" s="1146"/>
      <c r="E77" s="1146"/>
      <c r="F77" s="1146"/>
      <c r="G77" s="1146"/>
      <c r="H77" s="139">
        <f>SUM(H76)</f>
        <v>626</v>
      </c>
      <c r="I77" s="127"/>
      <c r="J77" s="127"/>
      <c r="K77" s="127"/>
    </row>
    <row r="78" spans="1:11" x14ac:dyDescent="0.3">
      <c r="A78" s="130"/>
      <c r="B78" s="130"/>
      <c r="C78" s="130"/>
      <c r="D78" s="130"/>
      <c r="E78" s="131"/>
      <c r="F78" s="129"/>
      <c r="G78" s="127"/>
      <c r="H78" s="127"/>
      <c r="I78" s="127"/>
      <c r="J78" s="127"/>
      <c r="K78" s="127"/>
    </row>
    <row r="79" spans="1:11" x14ac:dyDescent="0.3">
      <c r="A79" s="130"/>
      <c r="B79" s="130"/>
      <c r="C79" s="130"/>
      <c r="D79" s="130"/>
      <c r="E79" s="131"/>
      <c r="F79" s="129"/>
      <c r="G79" s="127"/>
      <c r="H79" s="127"/>
      <c r="I79" s="127"/>
      <c r="J79" s="127"/>
      <c r="K79" s="127"/>
    </row>
    <row r="80" spans="1:11" x14ac:dyDescent="0.3">
      <c r="A80" s="132" t="str">
        <f>+PRESUPUESTO!B16</f>
        <v>ITE7741</v>
      </c>
      <c r="B80" s="1148" t="str">
        <f>+PRESUPUESTO!C16</f>
        <v>ADECUACIÓN DE VIA DE ACCESO Y PATIO DE MANEJO DE MATERIALES, CON AFIRMADO e= 0.10 m.</v>
      </c>
      <c r="C80" s="1148"/>
      <c r="D80" s="1148"/>
      <c r="E80" s="1148"/>
      <c r="F80" s="1148"/>
      <c r="G80" s="1148"/>
      <c r="H80" s="133" t="str">
        <f>+PRESUPUESTO!D16</f>
        <v>m2</v>
      </c>
      <c r="I80" s="127"/>
      <c r="J80" s="127"/>
      <c r="K80" s="127"/>
    </row>
    <row r="81" spans="1:11" x14ac:dyDescent="0.3">
      <c r="A81" s="130"/>
      <c r="B81" s="1164" t="s">
        <v>553</v>
      </c>
      <c r="C81" s="1164"/>
      <c r="D81" s="1164"/>
      <c r="E81" s="1165"/>
      <c r="F81" s="134" t="s">
        <v>564</v>
      </c>
      <c r="G81" s="134" t="s">
        <v>560</v>
      </c>
      <c r="H81" s="134" t="s">
        <v>554</v>
      </c>
      <c r="I81" s="127"/>
      <c r="J81" s="127"/>
      <c r="K81" s="127"/>
    </row>
    <row r="82" spans="1:11" ht="42.75" customHeight="1" x14ac:dyDescent="0.3">
      <c r="A82" s="130"/>
      <c r="B82" s="1159" t="s">
        <v>596</v>
      </c>
      <c r="C82" s="1160"/>
      <c r="D82" s="1160"/>
      <c r="E82" s="1160"/>
      <c r="F82" s="136">
        <v>167.5</v>
      </c>
      <c r="G82" s="136">
        <v>8</v>
      </c>
      <c r="H82" s="136">
        <f>+F82*G82</f>
        <v>1340</v>
      </c>
      <c r="I82" s="127"/>
      <c r="J82" s="127"/>
      <c r="K82" s="127"/>
    </row>
    <row r="83" spans="1:11" x14ac:dyDescent="0.3">
      <c r="A83" s="130"/>
      <c r="B83" s="1146" t="s">
        <v>496</v>
      </c>
      <c r="C83" s="1146"/>
      <c r="D83" s="1146"/>
      <c r="E83" s="1146"/>
      <c r="F83" s="1146"/>
      <c r="G83" s="1146"/>
      <c r="H83" s="139">
        <f>SUM(H82)</f>
        <v>1340</v>
      </c>
      <c r="I83" s="127"/>
      <c r="J83" s="127"/>
      <c r="K83" s="127"/>
    </row>
    <row r="84" spans="1:11" x14ac:dyDescent="0.3">
      <c r="A84" s="130"/>
      <c r="B84" s="130"/>
      <c r="C84" s="130"/>
      <c r="D84" s="130"/>
      <c r="E84" s="131"/>
      <c r="F84" s="129"/>
      <c r="G84" s="127"/>
      <c r="H84" s="127"/>
      <c r="I84" s="127"/>
      <c r="J84" s="127"/>
      <c r="K84" s="127"/>
    </row>
    <row r="85" spans="1:11" ht="18" customHeight="1" x14ac:dyDescent="0.3">
      <c r="A85" s="132" t="str">
        <f>+PRESUPUESTO!B17</f>
        <v>EPA024</v>
      </c>
      <c r="B85" s="1171" t="str">
        <f>+PRESUPUESTO!C17</f>
        <v>DEMOLICIÓN CONCRETO REFORZADO</v>
      </c>
      <c r="C85" s="1172"/>
      <c r="D85" s="1172"/>
      <c r="E85" s="1172"/>
      <c r="F85" s="1172"/>
      <c r="G85" s="1172"/>
      <c r="H85" s="1173"/>
      <c r="I85" s="133" t="str">
        <f>+PRESUPUESTO!D17</f>
        <v>m3</v>
      </c>
    </row>
    <row r="86" spans="1:11" x14ac:dyDescent="0.3">
      <c r="A86" s="130"/>
      <c r="B86" s="1164" t="s">
        <v>553</v>
      </c>
      <c r="C86" s="1164"/>
      <c r="D86" s="1164"/>
      <c r="E86" s="1165"/>
      <c r="F86" s="157" t="s">
        <v>564</v>
      </c>
      <c r="G86" s="157" t="s">
        <v>599</v>
      </c>
      <c r="H86" s="157" t="s">
        <v>597</v>
      </c>
      <c r="I86" s="157" t="s">
        <v>601</v>
      </c>
    </row>
    <row r="87" spans="1:11" ht="32.25" customHeight="1" x14ac:dyDescent="0.3">
      <c r="A87" s="130"/>
      <c r="B87" s="1159" t="s">
        <v>598</v>
      </c>
      <c r="C87" s="1160"/>
      <c r="D87" s="1160"/>
      <c r="E87" s="1160"/>
      <c r="F87" s="136">
        <v>1.4</v>
      </c>
      <c r="G87" s="136">
        <v>1.4</v>
      </c>
      <c r="H87" s="136">
        <v>0.25</v>
      </c>
      <c r="I87" s="136">
        <f>+F87*G87*H87</f>
        <v>0.48999999999999994</v>
      </c>
    </row>
    <row r="88" spans="1:11" ht="34.5" customHeight="1" x14ac:dyDescent="0.3">
      <c r="A88" s="130"/>
      <c r="B88" s="1159" t="s">
        <v>600</v>
      </c>
      <c r="C88" s="1160"/>
      <c r="D88" s="1160"/>
      <c r="E88" s="1160"/>
      <c r="F88" s="136">
        <v>7</v>
      </c>
      <c r="G88" s="149">
        <v>3.5139999999999998</v>
      </c>
      <c r="H88" s="136">
        <v>0.25</v>
      </c>
      <c r="I88" s="136">
        <f>+F88*G88*H88</f>
        <v>6.1494999999999997</v>
      </c>
    </row>
    <row r="89" spans="1:11" ht="33.75" customHeight="1" x14ac:dyDescent="0.3">
      <c r="A89" s="130"/>
      <c r="B89" s="1159" t="s">
        <v>602</v>
      </c>
      <c r="C89" s="1160"/>
      <c r="D89" s="1160"/>
      <c r="E89" s="1160"/>
      <c r="F89" s="136">
        <v>1.4</v>
      </c>
      <c r="G89" s="136">
        <v>1.4</v>
      </c>
      <c r="H89" s="136">
        <v>0.25</v>
      </c>
      <c r="I89" s="136">
        <f>+F89*G89*H89</f>
        <v>0.48999999999999994</v>
      </c>
    </row>
    <row r="90" spans="1:11" x14ac:dyDescent="0.3">
      <c r="A90" s="130"/>
      <c r="B90" s="1146" t="s">
        <v>496</v>
      </c>
      <c r="C90" s="1146"/>
      <c r="D90" s="1146"/>
      <c r="E90" s="1146"/>
      <c r="F90" s="1146"/>
      <c r="G90" s="1146"/>
      <c r="H90" s="1146"/>
      <c r="I90" s="139">
        <f>SUM(I87:I89)</f>
        <v>7.1295000000000002</v>
      </c>
    </row>
    <row r="91" spans="1:11" x14ac:dyDescent="0.3">
      <c r="A91" s="130"/>
      <c r="B91" s="130"/>
      <c r="C91" s="130"/>
      <c r="D91" s="130"/>
      <c r="E91" s="131"/>
      <c r="F91" s="129"/>
      <c r="G91" s="127"/>
      <c r="H91" s="127"/>
      <c r="I91" s="127"/>
    </row>
    <row r="92" spans="1:11" x14ac:dyDescent="0.3">
      <c r="A92" s="1147" t="s">
        <v>604</v>
      </c>
      <c r="B92" s="1147"/>
      <c r="C92" s="1147"/>
      <c r="D92" s="1147"/>
      <c r="E92" s="1147"/>
      <c r="F92" s="1147"/>
      <c r="G92" s="1147"/>
      <c r="H92" s="1147"/>
      <c r="I92" s="1147"/>
    </row>
    <row r="93" spans="1:11" x14ac:dyDescent="0.3">
      <c r="A93" s="130"/>
      <c r="B93" s="130"/>
      <c r="C93" s="130"/>
      <c r="D93" s="130"/>
      <c r="E93" s="131"/>
      <c r="F93" s="129"/>
      <c r="G93" s="127"/>
      <c r="H93" s="127"/>
      <c r="I93" s="127"/>
    </row>
    <row r="94" spans="1:11" x14ac:dyDescent="0.3">
      <c r="A94" s="1147" t="s">
        <v>605</v>
      </c>
      <c r="B94" s="1147"/>
      <c r="C94" s="1147"/>
      <c r="D94" s="1147"/>
      <c r="E94" s="1147"/>
      <c r="F94" s="1147"/>
      <c r="G94" s="1147"/>
      <c r="H94" s="1147"/>
      <c r="I94" s="1147"/>
    </row>
    <row r="95" spans="1:11" x14ac:dyDescent="0.3">
      <c r="A95" s="130"/>
      <c r="B95" s="130"/>
      <c r="C95" s="130"/>
      <c r="D95" s="130"/>
      <c r="E95" s="131"/>
      <c r="F95" s="129"/>
      <c r="G95" s="127"/>
      <c r="H95" s="127"/>
      <c r="I95" s="127"/>
    </row>
    <row r="96" spans="1:11" ht="16.5" customHeight="1" x14ac:dyDescent="0.3">
      <c r="A96" s="132" t="str">
        <f>+PRESUPUESTO!B21</f>
        <v>EPA0041</v>
      </c>
      <c r="B96" s="1171" t="s">
        <v>606</v>
      </c>
      <c r="C96" s="1172"/>
      <c r="D96" s="1172"/>
      <c r="E96" s="1172"/>
      <c r="F96" s="1172"/>
      <c r="G96" s="1172"/>
      <c r="H96" s="1173"/>
      <c r="I96" s="133" t="str">
        <f>+PRESUPUESTO!D21</f>
        <v>m3</v>
      </c>
    </row>
    <row r="97" spans="1:26" x14ac:dyDescent="0.3">
      <c r="A97" s="130"/>
      <c r="B97" s="1164" t="s">
        <v>553</v>
      </c>
      <c r="C97" s="1164"/>
      <c r="D97" s="1164"/>
      <c r="E97" s="1165"/>
      <c r="F97" s="157" t="s">
        <v>564</v>
      </c>
      <c r="G97" s="157" t="s">
        <v>560</v>
      </c>
      <c r="H97" s="157" t="s">
        <v>597</v>
      </c>
      <c r="I97" s="157" t="s">
        <v>601</v>
      </c>
    </row>
    <row r="98" spans="1:26" ht="16.5" customHeight="1" x14ac:dyDescent="0.3">
      <c r="A98" s="130"/>
      <c r="B98" s="1159" t="s">
        <v>607</v>
      </c>
      <c r="C98" s="1160"/>
      <c r="D98" s="1160"/>
      <c r="E98" s="1160"/>
      <c r="F98" s="136">
        <f>+F61</f>
        <v>50</v>
      </c>
      <c r="G98" s="136">
        <f>+G61</f>
        <v>20</v>
      </c>
      <c r="H98" s="136">
        <v>0.5</v>
      </c>
      <c r="I98" s="150">
        <f>+F98*G98*H98</f>
        <v>500</v>
      </c>
      <c r="K98" s="153"/>
      <c r="L98" s="153"/>
      <c r="M98" s="153"/>
    </row>
    <row r="99" spans="1:26" ht="16.5" customHeight="1" x14ac:dyDescent="0.3">
      <c r="A99" s="130"/>
      <c r="B99" s="1159" t="s">
        <v>608</v>
      </c>
      <c r="C99" s="1160"/>
      <c r="D99" s="1160"/>
      <c r="E99" s="1160"/>
      <c r="F99" s="136">
        <f t="shared" ref="F99:G102" si="2">+F62</f>
        <v>8</v>
      </c>
      <c r="G99" s="136">
        <f t="shared" si="2"/>
        <v>5</v>
      </c>
      <c r="H99" s="136">
        <v>0.5</v>
      </c>
      <c r="I99" s="150">
        <f t="shared" ref="I99:I102" si="3">+F99*G99*H99</f>
        <v>20</v>
      </c>
      <c r="K99" s="153"/>
      <c r="L99" s="153"/>
      <c r="M99" s="153"/>
    </row>
    <row r="100" spans="1:26" ht="16.5" customHeight="1" x14ac:dyDescent="0.3">
      <c r="A100" s="130"/>
      <c r="B100" s="1159" t="s">
        <v>609</v>
      </c>
      <c r="C100" s="1160"/>
      <c r="D100" s="1160"/>
      <c r="E100" s="1160"/>
      <c r="F100" s="136">
        <f t="shared" si="2"/>
        <v>4</v>
      </c>
      <c r="G100" s="136">
        <f t="shared" si="2"/>
        <v>4</v>
      </c>
      <c r="H100" s="136">
        <v>0.5</v>
      </c>
      <c r="I100" s="150">
        <f t="shared" si="3"/>
        <v>8</v>
      </c>
      <c r="K100" s="153"/>
      <c r="L100" s="153"/>
      <c r="M100" s="153"/>
    </row>
    <row r="101" spans="1:26" ht="16.5" customHeight="1" x14ac:dyDescent="0.3">
      <c r="A101" s="130"/>
      <c r="B101" s="1159" t="s">
        <v>610</v>
      </c>
      <c r="C101" s="1160"/>
      <c r="D101" s="1160"/>
      <c r="E101" s="1160"/>
      <c r="F101" s="136">
        <f t="shared" si="2"/>
        <v>10</v>
      </c>
      <c r="G101" s="136">
        <f t="shared" si="2"/>
        <v>5</v>
      </c>
      <c r="H101" s="136">
        <v>0.5</v>
      </c>
      <c r="I101" s="163">
        <f t="shared" si="3"/>
        <v>25</v>
      </c>
      <c r="K101" s="153"/>
      <c r="L101" s="153"/>
      <c r="M101" s="153"/>
    </row>
    <row r="102" spans="1:26" ht="16.5" customHeight="1" x14ac:dyDescent="0.3">
      <c r="A102" s="130"/>
      <c r="B102" s="1159" t="s">
        <v>611</v>
      </c>
      <c r="C102" s="1160"/>
      <c r="D102" s="1160"/>
      <c r="E102" s="1160"/>
      <c r="F102" s="136">
        <f t="shared" si="2"/>
        <v>6</v>
      </c>
      <c r="G102" s="136">
        <f t="shared" si="2"/>
        <v>4</v>
      </c>
      <c r="H102" s="136">
        <v>0.5</v>
      </c>
      <c r="I102" s="150">
        <f t="shared" si="3"/>
        <v>12</v>
      </c>
      <c r="K102" s="153"/>
      <c r="L102" s="153"/>
      <c r="M102" s="153"/>
    </row>
    <row r="103" spans="1:26" x14ac:dyDescent="0.3">
      <c r="A103" s="130"/>
      <c r="B103" s="1146" t="s">
        <v>496</v>
      </c>
      <c r="C103" s="1146"/>
      <c r="D103" s="1146"/>
      <c r="E103" s="1146"/>
      <c r="F103" s="1146"/>
      <c r="G103" s="1146"/>
      <c r="H103" s="1146"/>
      <c r="I103" s="139">
        <f>SUM(I98:I98)</f>
        <v>500</v>
      </c>
    </row>
    <row r="104" spans="1:26" x14ac:dyDescent="0.3">
      <c r="A104" s="130"/>
      <c r="B104" s="130"/>
      <c r="C104" s="130"/>
      <c r="D104" s="130"/>
      <c r="E104" s="131"/>
      <c r="F104" s="129"/>
      <c r="G104" s="127"/>
      <c r="H104" s="127"/>
      <c r="I104" s="127"/>
    </row>
    <row r="105" spans="1:26" x14ac:dyDescent="0.3">
      <c r="A105" s="1147" t="s">
        <v>667</v>
      </c>
      <c r="B105" s="1147"/>
      <c r="C105" s="1147"/>
      <c r="D105" s="1147"/>
      <c r="E105" s="1147"/>
      <c r="F105" s="1147"/>
      <c r="G105" s="1147"/>
      <c r="H105" s="1147"/>
      <c r="I105" s="1147"/>
    </row>
    <row r="106" spans="1:26" x14ac:dyDescent="0.3">
      <c r="A106" s="1147" t="s">
        <v>668</v>
      </c>
      <c r="B106" s="1147"/>
      <c r="C106" s="1147"/>
      <c r="D106" s="1147"/>
      <c r="E106" s="1147"/>
      <c r="F106" s="1147"/>
      <c r="G106" s="1147"/>
      <c r="H106" s="1147"/>
      <c r="I106" s="1147"/>
    </row>
    <row r="107" spans="1:26" x14ac:dyDescent="0.3">
      <c r="A107" s="1147" t="s">
        <v>668</v>
      </c>
      <c r="B107" s="1147"/>
      <c r="C107" s="1147"/>
      <c r="D107" s="1147"/>
      <c r="E107" s="1147"/>
      <c r="F107" s="1147"/>
      <c r="G107" s="1147"/>
      <c r="H107" s="1147"/>
      <c r="I107" s="1147"/>
    </row>
    <row r="108" spans="1:26" x14ac:dyDescent="0.3">
      <c r="A108" s="130"/>
      <c r="B108" s="130"/>
      <c r="C108" s="130"/>
      <c r="D108" s="130"/>
      <c r="E108" s="131"/>
      <c r="F108" s="129"/>
      <c r="G108" s="127"/>
      <c r="H108" s="127"/>
      <c r="I108" s="127"/>
    </row>
    <row r="109" spans="1:26" ht="16.5" customHeight="1" x14ac:dyDescent="0.3">
      <c r="A109" s="130"/>
      <c r="B109" s="1189" t="s">
        <v>644</v>
      </c>
      <c r="C109" s="1190"/>
      <c r="D109" s="1190"/>
      <c r="E109" s="1190"/>
      <c r="F109" s="1190"/>
      <c r="G109" s="167"/>
      <c r="H109" s="16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x14ac:dyDescent="0.3">
      <c r="A110" s="130"/>
      <c r="B110" s="1194" t="s">
        <v>612</v>
      </c>
      <c r="C110" s="1196"/>
      <c r="D110" s="1191" t="s">
        <v>613</v>
      </c>
      <c r="E110" s="1211" t="s">
        <v>614</v>
      </c>
      <c r="F110" s="1186" t="s">
        <v>615</v>
      </c>
      <c r="G110" s="1191" t="s">
        <v>616</v>
      </c>
      <c r="H110" s="1186" t="s">
        <v>617</v>
      </c>
      <c r="I110" s="1186"/>
      <c r="J110" s="1191" t="s">
        <v>618</v>
      </c>
      <c r="K110" s="1191" t="s">
        <v>619</v>
      </c>
      <c r="L110" s="1191" t="s">
        <v>620</v>
      </c>
      <c r="M110" s="1194" t="s">
        <v>621</v>
      </c>
      <c r="N110" s="1195"/>
      <c r="O110" s="1196"/>
      <c r="P110" s="1194" t="s">
        <v>622</v>
      </c>
      <c r="Q110" s="1195"/>
      <c r="R110" s="1196"/>
      <c r="S110" s="1191" t="s">
        <v>623</v>
      </c>
      <c r="T110" s="1191" t="s">
        <v>624</v>
      </c>
      <c r="U110" s="1191" t="s">
        <v>658</v>
      </c>
      <c r="V110" s="1186" t="s">
        <v>625</v>
      </c>
      <c r="W110" s="1186" t="s">
        <v>626</v>
      </c>
      <c r="X110" s="1186" t="s">
        <v>627</v>
      </c>
      <c r="Y110" s="1186"/>
      <c r="Z110" s="1186" t="s">
        <v>628</v>
      </c>
    </row>
    <row r="111" spans="1:26" x14ac:dyDescent="0.3">
      <c r="A111" s="130"/>
      <c r="B111" s="1197"/>
      <c r="C111" s="1199"/>
      <c r="D111" s="1192"/>
      <c r="E111" s="1211"/>
      <c r="F111" s="1186"/>
      <c r="G111" s="1192"/>
      <c r="H111" s="1186"/>
      <c r="I111" s="1186"/>
      <c r="J111" s="1192"/>
      <c r="K111" s="1192"/>
      <c r="L111" s="1192"/>
      <c r="M111" s="1197"/>
      <c r="N111" s="1198"/>
      <c r="O111" s="1199"/>
      <c r="P111" s="1197"/>
      <c r="Q111" s="1198"/>
      <c r="R111" s="1199"/>
      <c r="S111" s="1192"/>
      <c r="T111" s="1192"/>
      <c r="U111" s="1192"/>
      <c r="V111" s="1186"/>
      <c r="W111" s="1186"/>
      <c r="X111" s="1186"/>
      <c r="Y111" s="1186"/>
      <c r="Z111" s="1186"/>
    </row>
    <row r="112" spans="1:26" ht="27.6" x14ac:dyDescent="0.3">
      <c r="A112" s="130"/>
      <c r="B112" s="1187" t="s">
        <v>629</v>
      </c>
      <c r="C112" s="1187" t="s">
        <v>630</v>
      </c>
      <c r="D112" s="1193"/>
      <c r="E112" s="1211"/>
      <c r="F112" s="1186"/>
      <c r="G112" s="1193"/>
      <c r="H112" s="168" t="s">
        <v>631</v>
      </c>
      <c r="I112" s="168" t="s">
        <v>632</v>
      </c>
      <c r="J112" s="1193"/>
      <c r="K112" s="1193"/>
      <c r="L112" s="1193"/>
      <c r="M112" s="168" t="s">
        <v>633</v>
      </c>
      <c r="N112" s="168" t="s">
        <v>634</v>
      </c>
      <c r="O112" s="168" t="s">
        <v>635</v>
      </c>
      <c r="P112" s="168" t="s">
        <v>633</v>
      </c>
      <c r="Q112" s="168" t="s">
        <v>636</v>
      </c>
      <c r="R112" s="168" t="s">
        <v>635</v>
      </c>
      <c r="S112" s="1193"/>
      <c r="T112" s="1193"/>
      <c r="U112" s="1193"/>
      <c r="V112" s="1186"/>
      <c r="W112" s="1186"/>
      <c r="X112" s="169" t="s">
        <v>637</v>
      </c>
      <c r="Y112" s="169" t="s">
        <v>638</v>
      </c>
      <c r="Z112" s="1186"/>
    </row>
    <row r="113" spans="1:26" x14ac:dyDescent="0.3">
      <c r="A113" s="130"/>
      <c r="B113" s="1188"/>
      <c r="C113" s="1188"/>
      <c r="D113" s="168" t="s">
        <v>639</v>
      </c>
      <c r="E113" s="1211"/>
      <c r="F113" s="168" t="s">
        <v>640</v>
      </c>
      <c r="G113" s="168" t="s">
        <v>639</v>
      </c>
      <c r="H113" s="168" t="s">
        <v>639</v>
      </c>
      <c r="I113" s="168" t="s">
        <v>639</v>
      </c>
      <c r="J113" s="168" t="s">
        <v>639</v>
      </c>
      <c r="K113" s="168" t="s">
        <v>639</v>
      </c>
      <c r="L113" s="168" t="s">
        <v>641</v>
      </c>
      <c r="M113" s="168" t="s">
        <v>639</v>
      </c>
      <c r="N113" s="168" t="s">
        <v>639</v>
      </c>
      <c r="O113" s="168" t="s">
        <v>642</v>
      </c>
      <c r="P113" s="168" t="s">
        <v>639</v>
      </c>
      <c r="Q113" s="168" t="s">
        <v>639</v>
      </c>
      <c r="R113" s="168" t="s">
        <v>642</v>
      </c>
      <c r="S113" s="168" t="s">
        <v>642</v>
      </c>
      <c r="T113" s="168" t="s">
        <v>642</v>
      </c>
      <c r="U113" s="168" t="s">
        <v>639</v>
      </c>
      <c r="V113" s="168" t="s">
        <v>642</v>
      </c>
      <c r="W113" s="168" t="s">
        <v>642</v>
      </c>
      <c r="X113" s="168" t="s">
        <v>642</v>
      </c>
      <c r="Y113" s="168" t="s">
        <v>642</v>
      </c>
      <c r="Z113" s="168" t="s">
        <v>642</v>
      </c>
    </row>
    <row r="114" spans="1:26" ht="17.399999999999999" x14ac:dyDescent="0.35">
      <c r="A114" s="130"/>
      <c r="B114" s="188" t="s">
        <v>645</v>
      </c>
      <c r="C114" s="188" t="s">
        <v>646</v>
      </c>
      <c r="D114" s="189">
        <v>2.5275820671415659</v>
      </c>
      <c r="E114" s="190" t="s">
        <v>656</v>
      </c>
      <c r="F114" s="190">
        <v>1000</v>
      </c>
      <c r="G114" s="189">
        <v>3.8221885090729022</v>
      </c>
      <c r="H114" s="192">
        <v>1.1499999999999999</v>
      </c>
      <c r="I114" s="192">
        <v>2.5275820671415659</v>
      </c>
      <c r="J114" s="192">
        <v>0.2</v>
      </c>
      <c r="K114" s="170">
        <f>(I114+H114)/2+J114</f>
        <v>2.0387910335707828</v>
      </c>
      <c r="L114" s="170">
        <f t="shared" ref="L114:L123" si="4">G114*M114</f>
        <v>6.6314970632414854</v>
      </c>
      <c r="M114" s="170">
        <v>1.7350000000000001</v>
      </c>
      <c r="N114" s="170">
        <f>IF(K114&gt;2,2,K114)</f>
        <v>2</v>
      </c>
      <c r="O114" s="170">
        <f>+N114*M114*G114</f>
        <v>13.262994126482971</v>
      </c>
      <c r="P114" s="170">
        <f>+M114</f>
        <v>1.7350000000000001</v>
      </c>
      <c r="Q114" s="170">
        <f>IF(N114&lt;2,0,K114-2)</f>
        <v>3.879103357078284E-2</v>
      </c>
      <c r="R114" s="170">
        <f>Q114*P114*G114</f>
        <v>0.25724262520474828</v>
      </c>
      <c r="S114" s="170">
        <f t="shared" ref="S114:S123" si="5">O114+R114</f>
        <v>13.520236751687719</v>
      </c>
      <c r="T114" s="171">
        <f t="shared" ref="T114:T123" si="6">G114*(((F114/2000)^2)*PI())</f>
        <v>3.0019398351846887</v>
      </c>
      <c r="U114" s="172">
        <f>0.4+(F114/1000)</f>
        <v>1.4</v>
      </c>
      <c r="V114" s="172">
        <f>1*0.2*G114</f>
        <v>0.76443770181458048</v>
      </c>
      <c r="W114" s="172">
        <f>O114+R114-T114-V114</f>
        <v>9.7538592146884486</v>
      </c>
      <c r="X114" s="172">
        <v>0</v>
      </c>
      <c r="Y114" s="172">
        <f t="shared" ref="Y114" si="7">(IF(D114&lt;2,0,D114-2))*(1.5^2*PI()/4)</f>
        <v>0.93231446979243393</v>
      </c>
      <c r="Z114" s="193">
        <f>+O114+R114+X114+Y114-W114</f>
        <v>4.6986920067917044</v>
      </c>
    </row>
    <row r="115" spans="1:26" ht="17.399999999999999" x14ac:dyDescent="0.35">
      <c r="A115" s="130"/>
      <c r="B115" s="188" t="s">
        <v>646</v>
      </c>
      <c r="C115" s="188" t="s">
        <v>647</v>
      </c>
      <c r="D115" s="189">
        <v>1.7307350348721684</v>
      </c>
      <c r="E115" s="190" t="s">
        <v>657</v>
      </c>
      <c r="F115" s="190">
        <v>900</v>
      </c>
      <c r="G115" s="189">
        <v>39.5984712457211</v>
      </c>
      <c r="H115" s="192">
        <v>2.5275820671415659</v>
      </c>
      <c r="I115" s="192">
        <v>1.7307350348721684</v>
      </c>
      <c r="J115" s="192">
        <v>0.2</v>
      </c>
      <c r="K115" s="170">
        <f t="shared" ref="K115:K123" si="8">(I115+H115)/2+J115</f>
        <v>2.3291585510068673</v>
      </c>
      <c r="L115" s="170">
        <f t="shared" si="4"/>
        <v>63.555546349382368</v>
      </c>
      <c r="M115" s="170">
        <v>1.605</v>
      </c>
      <c r="N115" s="170">
        <f t="shared" ref="N115:N123" si="9">IF(K115&gt;2,2,K115)</f>
        <v>2</v>
      </c>
      <c r="O115" s="170">
        <f t="shared" ref="O115:O123" si="10">+N115*M115*G115</f>
        <v>127.11109269876474</v>
      </c>
      <c r="P115" s="170">
        <f t="shared" ref="P115:P123" si="11">+M115</f>
        <v>1.605</v>
      </c>
      <c r="Q115" s="170">
        <f t="shared" ref="Q115:Q123" si="12">IF(N115&lt;2,0,K115-2)</f>
        <v>0.32915855100686731</v>
      </c>
      <c r="R115" s="170">
        <f t="shared" ref="R115:R123" si="13">Q115*P115*G115</f>
        <v>20.919851544812492</v>
      </c>
      <c r="S115" s="170">
        <f t="shared" si="5"/>
        <v>148.03094424357724</v>
      </c>
      <c r="T115" s="171">
        <f t="shared" si="6"/>
        <v>25.191458937686178</v>
      </c>
      <c r="U115" s="172">
        <f t="shared" ref="U115:U123" si="14">0.4+(F115/1000)</f>
        <v>1.3</v>
      </c>
      <c r="V115" s="172">
        <f>+(G115*P115*U115)-T115</f>
        <v>57.430751316510907</v>
      </c>
      <c r="W115" s="172">
        <f t="shared" ref="W115:W123" si="15">O115+R115-T115-V115</f>
        <v>65.408733989380153</v>
      </c>
      <c r="X115" s="172">
        <f t="shared" ref="X115:X123" si="16">(IF(D115&gt;2,2,D115))*(1.5^2*PI()/4)</f>
        <v>3.0584612648614944</v>
      </c>
      <c r="Y115" s="172">
        <f t="shared" ref="Y115:Y123" si="17">(IF(D115&lt;2,0,D115-2))*(1.5^2*PI()/4)</f>
        <v>0</v>
      </c>
      <c r="Z115" s="193">
        <f t="shared" ref="Z115:Z123" si="18">+O115+R115+X115+Y115-W115</f>
        <v>85.680671519058592</v>
      </c>
    </row>
    <row r="116" spans="1:26" ht="17.399999999999999" x14ac:dyDescent="0.35">
      <c r="A116" s="130"/>
      <c r="B116" s="188" t="str">
        <f>+C115</f>
        <v>CM-02</v>
      </c>
      <c r="C116" s="188" t="s">
        <v>648</v>
      </c>
      <c r="D116" s="189">
        <v>1.8181245775838306</v>
      </c>
      <c r="E116" s="190" t="s">
        <v>657</v>
      </c>
      <c r="F116" s="190">
        <v>900</v>
      </c>
      <c r="G116" s="189">
        <v>20.519465806911448</v>
      </c>
      <c r="H116" s="192">
        <v>1.7307350348721684</v>
      </c>
      <c r="I116" s="192">
        <v>1.8181245775838306</v>
      </c>
      <c r="J116" s="192">
        <v>0.2</v>
      </c>
      <c r="K116" s="170">
        <f t="shared" si="8"/>
        <v>1.9744298062279995</v>
      </c>
      <c r="L116" s="170">
        <f t="shared" si="4"/>
        <v>32.933742620092872</v>
      </c>
      <c r="M116" s="170">
        <v>1.605</v>
      </c>
      <c r="N116" s="170">
        <f t="shared" si="9"/>
        <v>1.9744298062279995</v>
      </c>
      <c r="O116" s="170">
        <f t="shared" si="10"/>
        <v>65.025363059752777</v>
      </c>
      <c r="P116" s="170">
        <f t="shared" si="11"/>
        <v>1.605</v>
      </c>
      <c r="Q116" s="170">
        <f t="shared" si="12"/>
        <v>0</v>
      </c>
      <c r="R116" s="170">
        <f t="shared" si="13"/>
        <v>0</v>
      </c>
      <c r="S116" s="170">
        <f t="shared" si="5"/>
        <v>65.025363059752777</v>
      </c>
      <c r="T116" s="171">
        <f t="shared" si="6"/>
        <v>13.053920114502443</v>
      </c>
      <c r="U116" s="172">
        <f t="shared" si="14"/>
        <v>1.3</v>
      </c>
      <c r="V116" s="172">
        <f t="shared" ref="V116:V122" si="19">+(G116*P116*U116)-T116</f>
        <v>29.75994529161829</v>
      </c>
      <c r="W116" s="172">
        <f t="shared" si="15"/>
        <v>22.211497653632041</v>
      </c>
      <c r="X116" s="172">
        <f t="shared" si="16"/>
        <v>3.2128913341397296</v>
      </c>
      <c r="Y116" s="172">
        <f t="shared" si="17"/>
        <v>0</v>
      </c>
      <c r="Z116" s="193">
        <f t="shared" si="18"/>
        <v>46.026756740260467</v>
      </c>
    </row>
    <row r="117" spans="1:26" ht="17.399999999999999" x14ac:dyDescent="0.35">
      <c r="A117" s="130"/>
      <c r="B117" s="188" t="str">
        <f t="shared" ref="B117:B123" si="20">+C116</f>
        <v>CM-03</v>
      </c>
      <c r="C117" s="188" t="s">
        <v>649</v>
      </c>
      <c r="D117" s="189">
        <v>2.3703546838951297</v>
      </c>
      <c r="E117" s="190" t="s">
        <v>657</v>
      </c>
      <c r="F117" s="190">
        <v>900</v>
      </c>
      <c r="G117" s="189">
        <v>51.789153545914481</v>
      </c>
      <c r="H117" s="192">
        <v>1.8181245775838306</v>
      </c>
      <c r="I117" s="192">
        <v>2.3703546838951297</v>
      </c>
      <c r="J117" s="192">
        <v>0.2</v>
      </c>
      <c r="K117" s="170">
        <f t="shared" si="8"/>
        <v>2.2942396307394803</v>
      </c>
      <c r="L117" s="170">
        <f t="shared" si="4"/>
        <v>83.121591441192734</v>
      </c>
      <c r="M117" s="170">
        <v>1.605</v>
      </c>
      <c r="N117" s="170">
        <f t="shared" si="9"/>
        <v>2</v>
      </c>
      <c r="O117" s="170">
        <f t="shared" si="10"/>
        <v>166.24318288238547</v>
      </c>
      <c r="P117" s="170">
        <f t="shared" si="11"/>
        <v>1.605</v>
      </c>
      <c r="Q117" s="170">
        <f t="shared" si="12"/>
        <v>0.29423963073948034</v>
      </c>
      <c r="R117" s="170">
        <f t="shared" si="13"/>
        <v>24.457666372134501</v>
      </c>
      <c r="S117" s="170">
        <f t="shared" si="5"/>
        <v>190.70084925451997</v>
      </c>
      <c r="T117" s="171">
        <f t="shared" si="6"/>
        <v>32.946835923884443</v>
      </c>
      <c r="U117" s="172">
        <f t="shared" si="14"/>
        <v>1.3</v>
      </c>
      <c r="V117" s="172">
        <f t="shared" si="19"/>
        <v>75.111232949666118</v>
      </c>
      <c r="W117" s="172">
        <f t="shared" si="15"/>
        <v>82.642780380969413</v>
      </c>
      <c r="X117" s="172">
        <f t="shared" si="16"/>
        <v>3.5342917352885173</v>
      </c>
      <c r="Y117" s="172">
        <f t="shared" si="17"/>
        <v>0.6544707492079741</v>
      </c>
      <c r="Z117" s="193">
        <f t="shared" si="18"/>
        <v>112.24683135804705</v>
      </c>
    </row>
    <row r="118" spans="1:26" ht="17.399999999999999" x14ac:dyDescent="0.35">
      <c r="A118" s="130"/>
      <c r="B118" s="188" t="str">
        <f t="shared" si="20"/>
        <v>CM-04</v>
      </c>
      <c r="C118" s="188" t="s">
        <v>650</v>
      </c>
      <c r="D118" s="189">
        <v>2.0863399269148886</v>
      </c>
      <c r="E118" s="190" t="s">
        <v>657</v>
      </c>
      <c r="F118" s="190">
        <v>900</v>
      </c>
      <c r="G118" s="189">
        <v>33.475052830415855</v>
      </c>
      <c r="H118" s="192">
        <v>2.3703546838951297</v>
      </c>
      <c r="I118" s="192">
        <v>2.0863399269148886</v>
      </c>
      <c r="J118" s="192">
        <v>0.2</v>
      </c>
      <c r="K118" s="170">
        <f t="shared" si="8"/>
        <v>2.4283473054050093</v>
      </c>
      <c r="L118" s="170">
        <f t="shared" si="4"/>
        <v>53.727459792817449</v>
      </c>
      <c r="M118" s="170">
        <v>1.605</v>
      </c>
      <c r="N118" s="170">
        <f t="shared" si="9"/>
        <v>2</v>
      </c>
      <c r="O118" s="170">
        <f t="shared" si="10"/>
        <v>107.4549195856349</v>
      </c>
      <c r="P118" s="170">
        <f t="shared" si="11"/>
        <v>1.605</v>
      </c>
      <c r="Q118" s="170">
        <f t="shared" si="12"/>
        <v>0.42834730540500932</v>
      </c>
      <c r="R118" s="170">
        <f t="shared" si="13"/>
        <v>23.014012628509334</v>
      </c>
      <c r="S118" s="170">
        <f t="shared" si="5"/>
        <v>130.46893221414422</v>
      </c>
      <c r="T118" s="171">
        <f t="shared" si="6"/>
        <v>21.295908460239346</v>
      </c>
      <c r="U118" s="172">
        <f t="shared" si="14"/>
        <v>1.3</v>
      </c>
      <c r="V118" s="172">
        <f t="shared" si="19"/>
        <v>48.549789270423346</v>
      </c>
      <c r="W118" s="172">
        <f t="shared" si="15"/>
        <v>60.623234483481525</v>
      </c>
      <c r="X118" s="172">
        <f t="shared" si="16"/>
        <v>3.5342917352885173</v>
      </c>
      <c r="Y118" s="172">
        <f t="shared" si="17"/>
        <v>0.15257524506035264</v>
      </c>
      <c r="Z118" s="193">
        <f t="shared" si="18"/>
        <v>73.53256471101156</v>
      </c>
    </row>
    <row r="119" spans="1:26" ht="17.399999999999999" x14ac:dyDescent="0.35">
      <c r="A119" s="130"/>
      <c r="B119" s="188" t="str">
        <f t="shared" si="20"/>
        <v>CM-05</v>
      </c>
      <c r="C119" s="188" t="s">
        <v>651</v>
      </c>
      <c r="D119" s="189">
        <v>2.1325562750480458</v>
      </c>
      <c r="E119" s="190" t="s">
        <v>657</v>
      </c>
      <c r="F119" s="190">
        <v>900</v>
      </c>
      <c r="G119" s="189">
        <v>57.003553941974715</v>
      </c>
      <c r="H119" s="192">
        <v>2.0863399269148886</v>
      </c>
      <c r="I119" s="192">
        <v>2.1325562750480458</v>
      </c>
      <c r="J119" s="192">
        <v>0.2</v>
      </c>
      <c r="K119" s="170">
        <f t="shared" si="8"/>
        <v>2.3094481009814674</v>
      </c>
      <c r="L119" s="170">
        <f t="shared" si="4"/>
        <v>91.49070407686942</v>
      </c>
      <c r="M119" s="170">
        <v>1.605</v>
      </c>
      <c r="N119" s="170">
        <f t="shared" si="9"/>
        <v>2</v>
      </c>
      <c r="O119" s="170">
        <f t="shared" si="10"/>
        <v>182.98140815373884</v>
      </c>
      <c r="P119" s="170">
        <f t="shared" si="11"/>
        <v>1.605</v>
      </c>
      <c r="Q119" s="170">
        <f t="shared" si="12"/>
        <v>0.30944810098146736</v>
      </c>
      <c r="R119" s="170">
        <f t="shared" si="13"/>
        <v>28.311624634044634</v>
      </c>
      <c r="S119" s="170">
        <f t="shared" si="5"/>
        <v>211.29303278778349</v>
      </c>
      <c r="T119" s="171">
        <f t="shared" si="6"/>
        <v>36.264094124254996</v>
      </c>
      <c r="U119" s="172">
        <f t="shared" si="14"/>
        <v>1.3</v>
      </c>
      <c r="V119" s="172">
        <f t="shared" si="19"/>
        <v>82.673821175675258</v>
      </c>
      <c r="W119" s="172">
        <f t="shared" si="15"/>
        <v>92.355117487853235</v>
      </c>
      <c r="X119" s="172">
        <f t="shared" si="16"/>
        <v>3.5342917352885173</v>
      </c>
      <c r="Y119" s="172">
        <f t="shared" si="17"/>
        <v>0.23424627368146986</v>
      </c>
      <c r="Z119" s="193">
        <f t="shared" si="18"/>
        <v>122.70645330890024</v>
      </c>
    </row>
    <row r="120" spans="1:26" ht="17.399999999999999" x14ac:dyDescent="0.35">
      <c r="A120" s="130"/>
      <c r="B120" s="188" t="str">
        <f t="shared" si="20"/>
        <v>CM-06</v>
      </c>
      <c r="C120" s="188" t="s">
        <v>652</v>
      </c>
      <c r="D120" s="189">
        <v>1.892706348535512</v>
      </c>
      <c r="E120" s="190" t="s">
        <v>657</v>
      </c>
      <c r="F120" s="190">
        <v>900</v>
      </c>
      <c r="G120" s="189">
        <v>35.684798584212047</v>
      </c>
      <c r="H120" s="192">
        <v>2.1325562750480458</v>
      </c>
      <c r="I120" s="192">
        <v>1.892706348535512</v>
      </c>
      <c r="J120" s="192">
        <v>0.2</v>
      </c>
      <c r="K120" s="170">
        <f t="shared" si="8"/>
        <v>2.2126313117917791</v>
      </c>
      <c r="L120" s="170">
        <f t="shared" si="4"/>
        <v>57.274101727660337</v>
      </c>
      <c r="M120" s="170">
        <v>1.605</v>
      </c>
      <c r="N120" s="170">
        <f t="shared" si="9"/>
        <v>2</v>
      </c>
      <c r="O120" s="170">
        <f t="shared" si="10"/>
        <v>114.54820345532067</v>
      </c>
      <c r="P120" s="170">
        <f t="shared" si="11"/>
        <v>1.605</v>
      </c>
      <c r="Q120" s="170">
        <f t="shared" si="12"/>
        <v>0.21263131179177908</v>
      </c>
      <c r="R120" s="170">
        <f t="shared" si="13"/>
        <v>12.178267382048217</v>
      </c>
      <c r="S120" s="170">
        <f t="shared" si="5"/>
        <v>126.72647083736889</v>
      </c>
      <c r="T120" s="171">
        <f t="shared" si="6"/>
        <v>22.701687968090887</v>
      </c>
      <c r="U120" s="172">
        <f t="shared" si="14"/>
        <v>1.3</v>
      </c>
      <c r="V120" s="172">
        <f t="shared" si="19"/>
        <v>51.754644277867548</v>
      </c>
      <c r="W120" s="172">
        <f t="shared" si="15"/>
        <v>52.270138591410451</v>
      </c>
      <c r="X120" s="172">
        <f t="shared" si="16"/>
        <v>3.3446882024785838</v>
      </c>
      <c r="Y120" s="172">
        <f t="shared" si="17"/>
        <v>0</v>
      </c>
      <c r="Z120" s="193">
        <f t="shared" si="18"/>
        <v>77.801020448437043</v>
      </c>
    </row>
    <row r="121" spans="1:26" ht="17.399999999999999" x14ac:dyDescent="0.35">
      <c r="A121" s="130"/>
      <c r="B121" s="188" t="str">
        <f t="shared" si="20"/>
        <v>CM-07</v>
      </c>
      <c r="C121" s="188" t="s">
        <v>653</v>
      </c>
      <c r="D121" s="189">
        <v>2.4077984529369587</v>
      </c>
      <c r="E121" s="190" t="s">
        <v>657</v>
      </c>
      <c r="F121" s="190">
        <v>900</v>
      </c>
      <c r="G121" s="189">
        <v>40.672196609027601</v>
      </c>
      <c r="H121" s="192">
        <v>1.892706348535512</v>
      </c>
      <c r="I121" s="192">
        <v>2.4077984529369587</v>
      </c>
      <c r="J121" s="192">
        <v>0.2</v>
      </c>
      <c r="K121" s="170">
        <f t="shared" si="8"/>
        <v>2.3502524007362355</v>
      </c>
      <c r="L121" s="170">
        <f t="shared" si="4"/>
        <v>65.2788755574893</v>
      </c>
      <c r="M121" s="170">
        <v>1.605</v>
      </c>
      <c r="N121" s="170">
        <f t="shared" si="9"/>
        <v>2</v>
      </c>
      <c r="O121" s="170">
        <f t="shared" si="10"/>
        <v>130.5577511149786</v>
      </c>
      <c r="P121" s="170">
        <f t="shared" si="11"/>
        <v>1.605</v>
      </c>
      <c r="Q121" s="170">
        <f t="shared" si="12"/>
        <v>0.35025240073623554</v>
      </c>
      <c r="R121" s="170">
        <f t="shared" si="13"/>
        <v>22.864082881372596</v>
      </c>
      <c r="S121" s="170">
        <f t="shared" si="5"/>
        <v>153.42183399635121</v>
      </c>
      <c r="T121" s="171">
        <f t="shared" si="6"/>
        <v>25.874533499636865</v>
      </c>
      <c r="U121" s="172">
        <f t="shared" si="14"/>
        <v>1.3</v>
      </c>
      <c r="V121" s="172">
        <f t="shared" si="19"/>
        <v>58.988004725099231</v>
      </c>
      <c r="W121" s="172">
        <f t="shared" si="15"/>
        <v>68.559295771615112</v>
      </c>
      <c r="X121" s="172">
        <f t="shared" si="16"/>
        <v>3.5342917352885173</v>
      </c>
      <c r="Y121" s="172">
        <f t="shared" si="17"/>
        <v>0.72063935093926823</v>
      </c>
      <c r="Z121" s="193">
        <f t="shared" si="18"/>
        <v>89.117469310963898</v>
      </c>
    </row>
    <row r="122" spans="1:26" ht="17.399999999999999" x14ac:dyDescent="0.35">
      <c r="A122" s="130"/>
      <c r="B122" s="188" t="str">
        <f t="shared" si="20"/>
        <v>CM-08</v>
      </c>
      <c r="C122" s="188" t="s">
        <v>654</v>
      </c>
      <c r="D122" s="189">
        <v>2.714671662430419</v>
      </c>
      <c r="E122" s="190" t="s">
        <v>657</v>
      </c>
      <c r="F122" s="190">
        <v>900</v>
      </c>
      <c r="G122" s="189">
        <v>44.537654237742402</v>
      </c>
      <c r="H122" s="192">
        <v>2.4077984529369587</v>
      </c>
      <c r="I122" s="192">
        <v>2.714671662430419</v>
      </c>
      <c r="J122" s="192">
        <v>0.2</v>
      </c>
      <c r="K122" s="170">
        <f t="shared" si="8"/>
        <v>2.761235057683689</v>
      </c>
      <c r="L122" s="170">
        <f t="shared" si="4"/>
        <v>71.482935051576547</v>
      </c>
      <c r="M122" s="170">
        <v>1.605</v>
      </c>
      <c r="N122" s="170">
        <f t="shared" si="9"/>
        <v>2</v>
      </c>
      <c r="O122" s="170">
        <f t="shared" si="10"/>
        <v>142.96587010315309</v>
      </c>
      <c r="P122" s="170">
        <f t="shared" si="11"/>
        <v>1.605</v>
      </c>
      <c r="Q122" s="170">
        <f t="shared" si="12"/>
        <v>0.76123505768368904</v>
      </c>
      <c r="R122" s="170">
        <f t="shared" si="13"/>
        <v>54.415316187386274</v>
      </c>
      <c r="S122" s="170">
        <f t="shared" si="5"/>
        <v>197.38118629053938</v>
      </c>
      <c r="T122" s="171">
        <f t="shared" si="6"/>
        <v>28.333631390686307</v>
      </c>
      <c r="U122" s="172">
        <f t="shared" si="14"/>
        <v>1.3</v>
      </c>
      <c r="V122" s="172">
        <f t="shared" si="19"/>
        <v>64.594184176363214</v>
      </c>
      <c r="W122" s="172">
        <f t="shared" si="15"/>
        <v>104.45337072348987</v>
      </c>
      <c r="X122" s="172">
        <f t="shared" si="16"/>
        <v>3.5342917352885173</v>
      </c>
      <c r="Y122" s="172">
        <f t="shared" si="17"/>
        <v>1.2629290749863675</v>
      </c>
      <c r="Z122" s="193">
        <f t="shared" si="18"/>
        <v>97.7250363773244</v>
      </c>
    </row>
    <row r="123" spans="1:26" ht="17.399999999999999" x14ac:dyDescent="0.35">
      <c r="A123" s="130"/>
      <c r="B123" s="188" t="str">
        <f t="shared" si="20"/>
        <v>CM-09</v>
      </c>
      <c r="C123" s="188" t="s">
        <v>655</v>
      </c>
      <c r="D123" s="189">
        <v>0</v>
      </c>
      <c r="E123" s="190" t="s">
        <v>656</v>
      </c>
      <c r="F123" s="190">
        <v>1000</v>
      </c>
      <c r="G123" s="189">
        <v>3.8221351361823839</v>
      </c>
      <c r="H123" s="192">
        <v>2.714671662430419</v>
      </c>
      <c r="I123" s="192">
        <v>2.96</v>
      </c>
      <c r="J123" s="192">
        <v>0.2</v>
      </c>
      <c r="K123" s="170">
        <f t="shared" si="8"/>
        <v>3.0373358312152097</v>
      </c>
      <c r="L123" s="170">
        <f t="shared" si="4"/>
        <v>6.6314044612764365</v>
      </c>
      <c r="M123" s="170">
        <v>1.7350000000000001</v>
      </c>
      <c r="N123" s="170">
        <f t="shared" si="9"/>
        <v>2</v>
      </c>
      <c r="O123" s="170">
        <f t="shared" si="10"/>
        <v>13.262808922552873</v>
      </c>
      <c r="P123" s="170">
        <f t="shared" si="11"/>
        <v>1.7350000000000001</v>
      </c>
      <c r="Q123" s="170">
        <f t="shared" si="12"/>
        <v>1.0373358312152097</v>
      </c>
      <c r="R123" s="170">
        <f t="shared" si="13"/>
        <v>6.8789934589624417</v>
      </c>
      <c r="S123" s="170">
        <f t="shared" si="5"/>
        <v>20.141802381515316</v>
      </c>
      <c r="T123" s="171">
        <f t="shared" si="6"/>
        <v>3.0018979162145003</v>
      </c>
      <c r="U123" s="172">
        <f t="shared" si="14"/>
        <v>1.4</v>
      </c>
      <c r="V123" s="172">
        <f>1*0.2*G123</f>
        <v>0.76442702723647682</v>
      </c>
      <c r="W123" s="172">
        <f t="shared" si="15"/>
        <v>16.37547743806434</v>
      </c>
      <c r="X123" s="172">
        <f t="shared" si="16"/>
        <v>0</v>
      </c>
      <c r="Y123" s="172">
        <f t="shared" si="17"/>
        <v>0</v>
      </c>
      <c r="Z123" s="193">
        <f t="shared" si="18"/>
        <v>3.7663249434509751</v>
      </c>
    </row>
    <row r="124" spans="1:26" x14ac:dyDescent="0.3">
      <c r="A124" s="130"/>
      <c r="B124" s="173" t="s">
        <v>496</v>
      </c>
      <c r="C124" s="173"/>
      <c r="D124" s="191">
        <f>SUM(D114:D123)</f>
        <v>19.680869029358519</v>
      </c>
      <c r="E124" s="175"/>
      <c r="F124" s="175"/>
      <c r="G124" s="174">
        <f>SUM(G115:G122)</f>
        <v>323.28034680191962</v>
      </c>
      <c r="H124" s="174">
        <f>SUM(H115:H122)</f>
        <v>16.9661973669281</v>
      </c>
      <c r="I124" s="174"/>
      <c r="J124" s="175"/>
      <c r="K124" s="175"/>
      <c r="L124" s="176">
        <f>SUM(L114:L123)</f>
        <v>532.12785814159895</v>
      </c>
      <c r="M124" s="176"/>
      <c r="N124" s="173"/>
      <c r="O124" s="174">
        <f>SUM(O114:O123)</f>
        <v>1063.413594102765</v>
      </c>
      <c r="P124" s="177"/>
      <c r="Q124" s="173"/>
      <c r="R124" s="174">
        <f>SUM(R114:R123)</f>
        <v>193.29705771447524</v>
      </c>
      <c r="S124" s="177"/>
      <c r="T124" s="174">
        <f>SUM(T114:T123)</f>
        <v>211.66590817038065</v>
      </c>
      <c r="U124" s="178"/>
      <c r="V124" s="174">
        <f>SUM(V114:V123)</f>
        <v>470.39123791227496</v>
      </c>
      <c r="W124" s="174">
        <f>SUM(W114:W123)</f>
        <v>574.65350573458454</v>
      </c>
      <c r="X124" s="174">
        <f>SUM(X114:X123)</f>
        <v>27.287499477922392</v>
      </c>
      <c r="Y124" s="174">
        <f>SUM(Y114:Y123)</f>
        <v>3.9571751636678663</v>
      </c>
      <c r="Z124" s="194">
        <f>SUM(Z114:Z123)</f>
        <v>713.30182072424589</v>
      </c>
    </row>
    <row r="125" spans="1:26" x14ac:dyDescent="0.3">
      <c r="A125" s="130"/>
      <c r="B125" s="173" t="s">
        <v>643</v>
      </c>
      <c r="C125" s="173"/>
      <c r="D125" s="179"/>
      <c r="E125" s="180"/>
      <c r="F125" s="180"/>
      <c r="G125" s="179"/>
      <c r="H125" s="180"/>
      <c r="I125" s="180"/>
      <c r="J125" s="180"/>
      <c r="K125" s="181">
        <v>0.05</v>
      </c>
      <c r="L125" s="170">
        <f>0.05*L124</f>
        <v>26.60639290707995</v>
      </c>
      <c r="M125" s="180"/>
      <c r="N125" s="181">
        <v>0.05</v>
      </c>
      <c r="O125" s="170">
        <f>0.05*O124</f>
        <v>53.170679705138255</v>
      </c>
      <c r="P125" s="180"/>
      <c r="Q125" s="181">
        <v>0.05</v>
      </c>
      <c r="R125" s="170">
        <f>0.05*R124</f>
        <v>9.6648528857237626</v>
      </c>
      <c r="S125" s="180"/>
      <c r="T125" s="182"/>
      <c r="U125" s="182"/>
      <c r="V125" s="182"/>
      <c r="W125" s="182"/>
      <c r="X125" s="182"/>
      <c r="Y125" s="127"/>
      <c r="Z125" s="127"/>
    </row>
    <row r="126" spans="1:26" x14ac:dyDescent="0.3">
      <c r="A126" s="130"/>
      <c r="B126" s="182"/>
      <c r="C126" s="182"/>
      <c r="D126" s="179"/>
      <c r="E126" s="179"/>
      <c r="F126" s="182"/>
      <c r="G126" s="182"/>
      <c r="H126" s="180"/>
      <c r="I126" s="183"/>
      <c r="J126" s="180"/>
      <c r="K126" s="180"/>
      <c r="L126" s="170">
        <f>SUM(L124:L125)</f>
        <v>558.73425104867886</v>
      </c>
      <c r="M126" s="180"/>
      <c r="N126" s="180"/>
      <c r="O126" s="170">
        <f>SUM(O124:O125)</f>
        <v>1116.5842738079034</v>
      </c>
      <c r="P126" s="184">
        <f>SUM(O124:O125)</f>
        <v>1116.5842738079034</v>
      </c>
      <c r="Q126" s="185"/>
      <c r="R126" s="170">
        <f>SUM(R124:R125)</f>
        <v>202.96191060019902</v>
      </c>
      <c r="S126" s="184">
        <f>SUM(R124:R125)</f>
        <v>202.96191060019902</v>
      </c>
      <c r="T126" s="186"/>
      <c r="U126" s="187"/>
      <c r="V126" s="182"/>
      <c r="W126" s="182"/>
      <c r="X126" s="182"/>
      <c r="Y126" s="182"/>
      <c r="Z126" s="127"/>
    </row>
    <row r="127" spans="1:26" x14ac:dyDescent="0.3">
      <c r="A127" s="130"/>
      <c r="B127" s="130"/>
      <c r="C127" s="130"/>
      <c r="D127" s="130"/>
      <c r="E127" s="131"/>
      <c r="F127" s="129"/>
      <c r="G127" s="127"/>
      <c r="H127" s="127"/>
      <c r="I127" s="127"/>
    </row>
    <row r="128" spans="1:26" x14ac:dyDescent="0.3">
      <c r="A128" s="130"/>
      <c r="B128" s="130"/>
      <c r="C128" s="130"/>
      <c r="D128" s="130"/>
      <c r="E128" s="131"/>
      <c r="F128" s="129"/>
      <c r="G128" s="127"/>
      <c r="H128" s="127"/>
      <c r="I128" s="127"/>
    </row>
    <row r="129" spans="1:9" x14ac:dyDescent="0.3">
      <c r="A129" s="132" t="str">
        <f>+PRESUPUESTO!B33</f>
        <v>EPA0044</v>
      </c>
      <c r="B129" s="1148" t="str">
        <f>+PRESUPUESTO!C33</f>
        <v>EXCAVACIÓN CONGLOMERADO &lt; 2 m, CONSTRUCCION DE GAVIONES</v>
      </c>
      <c r="C129" s="1148"/>
      <c r="D129" s="1148"/>
      <c r="E129" s="1148"/>
      <c r="F129" s="1148"/>
      <c r="G129" s="1148"/>
      <c r="H129" s="133" t="s">
        <v>7</v>
      </c>
      <c r="I129" s="127"/>
    </row>
    <row r="130" spans="1:9" x14ac:dyDescent="0.3">
      <c r="A130" s="130"/>
      <c r="B130" s="1164" t="s">
        <v>553</v>
      </c>
      <c r="C130" s="1164"/>
      <c r="D130" s="1164"/>
      <c r="E130" s="1165"/>
      <c r="F130" s="160" t="s">
        <v>564</v>
      </c>
      <c r="G130" s="160" t="s">
        <v>554</v>
      </c>
      <c r="H130" s="160" t="s">
        <v>554</v>
      </c>
      <c r="I130" s="127"/>
    </row>
    <row r="131" spans="1:9" ht="33.75" customHeight="1" x14ac:dyDescent="0.3">
      <c r="A131" s="130"/>
      <c r="B131" s="1159" t="s">
        <v>464</v>
      </c>
      <c r="C131" s="1160"/>
      <c r="D131" s="1160"/>
      <c r="E131" s="1160"/>
      <c r="F131" s="149">
        <f>+F40</f>
        <v>5.6885654075689773</v>
      </c>
      <c r="G131" s="141">
        <v>1.9337037041648217</v>
      </c>
      <c r="H131" s="136">
        <f>+F131*G131</f>
        <v>11</v>
      </c>
      <c r="I131" s="127"/>
    </row>
    <row r="132" spans="1:9" x14ac:dyDescent="0.3">
      <c r="A132" s="130"/>
      <c r="B132" s="1146" t="s">
        <v>496</v>
      </c>
      <c r="C132" s="1146"/>
      <c r="D132" s="1146"/>
      <c r="E132" s="1146"/>
      <c r="F132" s="1146"/>
      <c r="G132" s="1146"/>
      <c r="H132" s="139">
        <f>SUM(H131)</f>
        <v>11</v>
      </c>
      <c r="I132" s="127"/>
    </row>
    <row r="133" spans="1:9" x14ac:dyDescent="0.3">
      <c r="A133" s="130"/>
      <c r="B133" s="130"/>
      <c r="C133" s="130"/>
      <c r="D133" s="130"/>
      <c r="E133" s="131"/>
      <c r="F133" s="129"/>
      <c r="G133" s="127"/>
      <c r="H133" s="127"/>
      <c r="I133" s="127"/>
    </row>
    <row r="134" spans="1:9" ht="16.5" customHeight="1" x14ac:dyDescent="0.3">
      <c r="A134" s="132" t="str">
        <f>+PRESUPUESTO!B35</f>
        <v>EPA0041</v>
      </c>
      <c r="B134" s="1148" t="str">
        <f>+PRESUPUESTO!C35</f>
        <v>EXCAVACIÓN EN MATERIAL COMUN, CONSTRUCCION DE TRINCHOS</v>
      </c>
      <c r="C134" s="1148"/>
      <c r="D134" s="1148"/>
      <c r="E134" s="1148"/>
      <c r="F134" s="1148"/>
      <c r="G134" s="1148"/>
      <c r="H134" s="133" t="s">
        <v>7</v>
      </c>
      <c r="I134" s="127"/>
    </row>
    <row r="135" spans="1:9" ht="41.4" x14ac:dyDescent="0.3">
      <c r="A135" s="130"/>
      <c r="B135" s="1164" t="s">
        <v>553</v>
      </c>
      <c r="C135" s="1164"/>
      <c r="D135" s="1164"/>
      <c r="E135" s="1165"/>
      <c r="F135" s="160" t="s">
        <v>564</v>
      </c>
      <c r="G135" s="195" t="s">
        <v>661</v>
      </c>
      <c r="H135" s="160" t="s">
        <v>554</v>
      </c>
      <c r="I135" s="127"/>
    </row>
    <row r="136" spans="1:9" ht="33" customHeight="1" x14ac:dyDescent="0.3">
      <c r="A136" s="130"/>
      <c r="B136" s="1159" t="s">
        <v>662</v>
      </c>
      <c r="C136" s="1160"/>
      <c r="D136" s="1160"/>
      <c r="E136" s="1160"/>
      <c r="F136" s="141">
        <v>18.02</v>
      </c>
      <c r="G136" s="141">
        <v>0.25</v>
      </c>
      <c r="H136" s="136">
        <f>+F136*G136</f>
        <v>4.5049999999999999</v>
      </c>
      <c r="I136" s="127"/>
    </row>
    <row r="137" spans="1:9" ht="33" customHeight="1" x14ac:dyDescent="0.3">
      <c r="A137" s="130"/>
      <c r="B137" s="1159" t="s">
        <v>663</v>
      </c>
      <c r="C137" s="1160"/>
      <c r="D137" s="1160"/>
      <c r="E137" s="1160"/>
      <c r="F137" s="141">
        <v>13.57</v>
      </c>
      <c r="G137" s="141">
        <v>0.25044952100221046</v>
      </c>
      <c r="H137" s="136">
        <f t="shared" ref="H137:H139" si="21">+F137*G137</f>
        <v>3.3985999999999961</v>
      </c>
      <c r="I137" s="127"/>
    </row>
    <row r="138" spans="1:9" ht="33" customHeight="1" x14ac:dyDescent="0.3">
      <c r="A138" s="130"/>
      <c r="B138" s="1159" t="s">
        <v>664</v>
      </c>
      <c r="C138" s="1160"/>
      <c r="D138" s="1160"/>
      <c r="E138" s="1160"/>
      <c r="F138" s="141">
        <v>9.3800000000000008</v>
      </c>
      <c r="G138" s="141">
        <v>0.19</v>
      </c>
      <c r="H138" s="136">
        <f t="shared" si="21"/>
        <v>1.7822000000000002</v>
      </c>
      <c r="I138" s="127"/>
    </row>
    <row r="139" spans="1:9" ht="33" customHeight="1" x14ac:dyDescent="0.3">
      <c r="A139" s="130"/>
      <c r="B139" s="1159" t="s">
        <v>665</v>
      </c>
      <c r="C139" s="1160"/>
      <c r="D139" s="1160"/>
      <c r="E139" s="1160"/>
      <c r="F139" s="149">
        <v>14.22</v>
      </c>
      <c r="G139" s="141">
        <v>0.11</v>
      </c>
      <c r="H139" s="136">
        <f t="shared" si="21"/>
        <v>1.5642</v>
      </c>
      <c r="I139" s="127"/>
    </row>
    <row r="140" spans="1:9" x14ac:dyDescent="0.3">
      <c r="A140" s="130"/>
      <c r="B140" s="1146" t="s">
        <v>496</v>
      </c>
      <c r="C140" s="1146"/>
      <c r="D140" s="1146"/>
      <c r="E140" s="1146"/>
      <c r="F140" s="1146"/>
      <c r="G140" s="1146"/>
      <c r="H140" s="139">
        <f>SUM(H136:H139)</f>
        <v>11.249999999999995</v>
      </c>
      <c r="I140" s="127"/>
    </row>
    <row r="141" spans="1:9" x14ac:dyDescent="0.3">
      <c r="A141" s="130"/>
      <c r="B141" s="130"/>
      <c r="C141" s="130"/>
      <c r="D141" s="130"/>
      <c r="E141" s="131"/>
      <c r="F141" s="129"/>
      <c r="G141" s="127"/>
      <c r="H141" s="127"/>
      <c r="I141" s="127"/>
    </row>
    <row r="142" spans="1:9" x14ac:dyDescent="0.3">
      <c r="A142" s="132" t="str">
        <f>+PRESUPUESTO!B37</f>
        <v>EPA0041</v>
      </c>
      <c r="B142" s="1171" t="str">
        <f>+PRESUPUESTO!C37</f>
        <v>EXCAVACIÓN EN MATERIAL COMUN, CONSTRUCCION DE PANTALLA ANCLADA</v>
      </c>
      <c r="C142" s="1172"/>
      <c r="D142" s="1172"/>
      <c r="E142" s="1172"/>
      <c r="F142" s="1172"/>
      <c r="G142" s="1172"/>
      <c r="H142" s="1173"/>
      <c r="I142" s="133" t="str">
        <f>+PRESUPUESTO!D37</f>
        <v>m3</v>
      </c>
    </row>
    <row r="143" spans="1:9" x14ac:dyDescent="0.3">
      <c r="A143" s="130"/>
      <c r="B143" s="1164" t="s">
        <v>553</v>
      </c>
      <c r="C143" s="1164"/>
      <c r="D143" s="1164"/>
      <c r="E143" s="1165"/>
      <c r="F143" s="160" t="s">
        <v>564</v>
      </c>
      <c r="G143" s="160" t="s">
        <v>560</v>
      </c>
      <c r="H143" s="160" t="s">
        <v>597</v>
      </c>
      <c r="I143" s="160" t="s">
        <v>601</v>
      </c>
    </row>
    <row r="144" spans="1:9" ht="33" customHeight="1" x14ac:dyDescent="0.3">
      <c r="A144" s="130"/>
      <c r="B144" s="1159" t="s">
        <v>666</v>
      </c>
      <c r="C144" s="1160"/>
      <c r="D144" s="1160"/>
      <c r="E144" s="1160"/>
      <c r="F144" s="136">
        <f>+F39</f>
        <v>20</v>
      </c>
      <c r="G144" s="136">
        <f>+G39</f>
        <v>20</v>
      </c>
      <c r="H144" s="136">
        <v>0.5</v>
      </c>
      <c r="I144" s="161">
        <f>+F144*G144*H144</f>
        <v>200</v>
      </c>
    </row>
    <row r="145" spans="1:9" x14ac:dyDescent="0.3">
      <c r="A145" s="130"/>
      <c r="B145" s="1146" t="s">
        <v>496</v>
      </c>
      <c r="C145" s="1146"/>
      <c r="D145" s="1146"/>
      <c r="E145" s="1146"/>
      <c r="F145" s="1146"/>
      <c r="G145" s="1146"/>
      <c r="H145" s="1146"/>
      <c r="I145" s="139">
        <f>SUM(I144)</f>
        <v>200</v>
      </c>
    </row>
    <row r="146" spans="1:9" ht="16.5" customHeight="1" x14ac:dyDescent="0.3">
      <c r="A146" s="130"/>
      <c r="B146" s="130"/>
      <c r="C146" s="130"/>
      <c r="D146" s="130"/>
      <c r="E146" s="131"/>
      <c r="F146" s="129"/>
      <c r="G146" s="127"/>
      <c r="H146" s="127"/>
      <c r="I146" s="127"/>
    </row>
    <row r="147" spans="1:9" ht="16.5" customHeight="1" x14ac:dyDescent="0.3">
      <c r="A147" s="1147" t="s">
        <v>669</v>
      </c>
      <c r="B147" s="1147"/>
      <c r="C147" s="1147"/>
      <c r="D147" s="1147"/>
      <c r="E147" s="1147"/>
      <c r="F147" s="1147"/>
      <c r="G147" s="1147"/>
      <c r="H147" s="1147"/>
      <c r="I147" s="1147"/>
    </row>
    <row r="148" spans="1:9" ht="16.5" customHeight="1" x14ac:dyDescent="0.3">
      <c r="A148" s="130"/>
      <c r="B148" s="130"/>
      <c r="C148" s="130"/>
      <c r="D148" s="130"/>
      <c r="E148" s="131"/>
      <c r="F148" s="129"/>
      <c r="G148" s="127"/>
      <c r="H148" s="127"/>
      <c r="I148" s="127"/>
    </row>
    <row r="149" spans="1:9" ht="16.5" customHeight="1" x14ac:dyDescent="0.3">
      <c r="A149" s="130"/>
      <c r="B149" s="130"/>
      <c r="C149" s="130"/>
      <c r="D149" s="130"/>
      <c r="E149" s="131"/>
      <c r="F149" s="129"/>
      <c r="G149" s="127"/>
      <c r="H149" s="127"/>
      <c r="I149" s="127"/>
    </row>
    <row r="150" spans="1:9" ht="16.5" customHeight="1" x14ac:dyDescent="0.3">
      <c r="A150" s="132" t="str">
        <f>+PRESUPUESTO!B42</f>
        <v>ITE6140</v>
      </c>
      <c r="B150" s="1171" t="str">
        <f>+PRESUPUESTO!C42</f>
        <v>SUMINISTRO E INSTALACIÓN DE TUBERÍA PEAD ALCANTARILLADO DN 900 mm (Ø36")</v>
      </c>
      <c r="C150" s="1172"/>
      <c r="D150" s="1172"/>
      <c r="E150" s="1172"/>
      <c r="F150" s="1172"/>
      <c r="G150" s="1172"/>
      <c r="H150" s="1173"/>
      <c r="I150" s="127"/>
    </row>
    <row r="151" spans="1:9" ht="16.5" customHeight="1" x14ac:dyDescent="0.3">
      <c r="A151" s="130"/>
      <c r="B151" s="196" t="s">
        <v>670</v>
      </c>
      <c r="C151" s="196" t="s">
        <v>562</v>
      </c>
      <c r="D151" s="130"/>
      <c r="E151" s="131"/>
      <c r="F151" s="129"/>
      <c r="G151" s="127"/>
      <c r="H151" s="127"/>
      <c r="I151" s="127"/>
    </row>
    <row r="152" spans="1:9" ht="16.5" customHeight="1" x14ac:dyDescent="0.3">
      <c r="A152" s="130"/>
      <c r="B152" s="196" t="s">
        <v>671</v>
      </c>
      <c r="C152" s="196" t="s">
        <v>639</v>
      </c>
      <c r="D152" s="130"/>
      <c r="E152" s="131"/>
      <c r="F152" s="129"/>
      <c r="G152" s="127"/>
      <c r="H152" s="127"/>
      <c r="I152" s="127"/>
    </row>
    <row r="153" spans="1:9" ht="16.5" customHeight="1" x14ac:dyDescent="0.3">
      <c r="A153" s="130"/>
      <c r="B153" s="197">
        <v>36</v>
      </c>
      <c r="C153" s="198">
        <f>ROUNDDOWN(G124,0)</f>
        <v>323</v>
      </c>
      <c r="D153" s="130"/>
      <c r="E153" s="131"/>
      <c r="F153" s="129"/>
      <c r="G153" s="127"/>
      <c r="H153" s="127"/>
      <c r="I153" s="127"/>
    </row>
    <row r="154" spans="1:9" x14ac:dyDescent="0.3">
      <c r="A154" s="130"/>
      <c r="B154" s="161" t="s">
        <v>496</v>
      </c>
      <c r="C154" s="139">
        <f>SUM(C153)</f>
        <v>323</v>
      </c>
      <c r="D154" s="130"/>
      <c r="E154" s="131"/>
      <c r="F154" s="129"/>
      <c r="G154" s="127"/>
      <c r="H154" s="127"/>
      <c r="I154" s="127"/>
    </row>
    <row r="155" spans="1:9" x14ac:dyDescent="0.3">
      <c r="A155" s="130"/>
      <c r="B155" s="130"/>
      <c r="C155" s="130"/>
      <c r="D155" s="130"/>
      <c r="E155" s="131"/>
      <c r="F155" s="129"/>
      <c r="G155" s="127"/>
      <c r="H155" s="127"/>
      <c r="I155" s="127"/>
    </row>
    <row r="156" spans="1:9" ht="33.75" customHeight="1" x14ac:dyDescent="0.3">
      <c r="A156" s="132" t="str">
        <f>+PRESUPUESTO!B43</f>
        <v>EPA0079</v>
      </c>
      <c r="B156" s="1171" t="s">
        <v>672</v>
      </c>
      <c r="C156" s="1172"/>
      <c r="D156" s="1172"/>
      <c r="E156" s="1172"/>
      <c r="F156" s="1172"/>
      <c r="G156" s="1172"/>
      <c r="H156" s="1173"/>
      <c r="I156" s="127"/>
    </row>
    <row r="157" spans="1:9" x14ac:dyDescent="0.3">
      <c r="A157" s="130"/>
      <c r="B157" s="196" t="s">
        <v>670</v>
      </c>
      <c r="C157" s="196" t="s">
        <v>562</v>
      </c>
      <c r="D157" s="130"/>
      <c r="E157" s="131"/>
      <c r="F157" s="129"/>
      <c r="G157" s="127"/>
      <c r="H157" s="127"/>
      <c r="I157" s="127"/>
    </row>
    <row r="158" spans="1:9" x14ac:dyDescent="0.3">
      <c r="A158" s="130"/>
      <c r="B158" s="196" t="s">
        <v>640</v>
      </c>
      <c r="C158" s="196" t="s">
        <v>639</v>
      </c>
      <c r="D158" s="130"/>
      <c r="E158" s="131"/>
      <c r="F158" s="129"/>
      <c r="G158" s="127"/>
      <c r="H158" s="127"/>
      <c r="I158" s="127"/>
    </row>
    <row r="159" spans="1:9" x14ac:dyDescent="0.3">
      <c r="A159" s="130"/>
      <c r="B159" s="197">
        <v>150</v>
      </c>
      <c r="C159" s="198">
        <v>23.5</v>
      </c>
      <c r="D159" s="130"/>
      <c r="E159" s="131"/>
      <c r="F159" s="129"/>
      <c r="G159" s="127"/>
      <c r="H159" s="127"/>
      <c r="I159" s="127"/>
    </row>
    <row r="160" spans="1:9" x14ac:dyDescent="0.3">
      <c r="A160" s="130"/>
      <c r="B160" s="161" t="s">
        <v>496</v>
      </c>
      <c r="C160" s="139">
        <f>SUM(C159)</f>
        <v>23.5</v>
      </c>
      <c r="D160" s="130"/>
      <c r="E160" s="131"/>
      <c r="F160" s="129"/>
      <c r="G160" s="127"/>
      <c r="H160" s="127"/>
      <c r="I160" s="127"/>
    </row>
    <row r="161" spans="1:9" x14ac:dyDescent="0.3">
      <c r="A161" s="130"/>
      <c r="B161" s="130"/>
      <c r="C161" s="130"/>
      <c r="D161" s="130"/>
      <c r="E161" s="131"/>
      <c r="F161" s="129"/>
      <c r="G161" s="127"/>
      <c r="H161" s="127"/>
      <c r="I161" s="127"/>
    </row>
    <row r="162" spans="1:9" ht="33" customHeight="1" x14ac:dyDescent="0.3">
      <c r="A162" s="132" t="str">
        <f>+PRESUPUESTO!B44</f>
        <v>ITE5082</v>
      </c>
      <c r="B162" s="1171" t="s">
        <v>673</v>
      </c>
      <c r="C162" s="1172"/>
      <c r="D162" s="1172"/>
      <c r="E162" s="1172"/>
      <c r="F162" s="1172"/>
      <c r="G162" s="1172"/>
      <c r="H162" s="1173"/>
      <c r="I162" s="127"/>
    </row>
    <row r="163" spans="1:9" x14ac:dyDescent="0.3">
      <c r="A163" s="130"/>
      <c r="B163" s="196" t="s">
        <v>670</v>
      </c>
      <c r="C163" s="196" t="s">
        <v>562</v>
      </c>
      <c r="D163" s="130"/>
      <c r="E163" s="131"/>
      <c r="F163" s="129"/>
      <c r="G163" s="127"/>
      <c r="H163" s="127"/>
      <c r="I163" s="127"/>
    </row>
    <row r="164" spans="1:9" x14ac:dyDescent="0.3">
      <c r="A164" s="130"/>
      <c r="B164" s="196" t="s">
        <v>640</v>
      </c>
      <c r="C164" s="196" t="s">
        <v>639</v>
      </c>
      <c r="D164" s="130"/>
      <c r="E164" s="131"/>
      <c r="F164" s="129"/>
      <c r="G164" s="127"/>
      <c r="H164" s="127"/>
      <c r="I164" s="127"/>
    </row>
    <row r="165" spans="1:9" x14ac:dyDescent="0.3">
      <c r="A165" s="130"/>
      <c r="B165" s="197">
        <v>160</v>
      </c>
      <c r="C165" s="198">
        <v>2.5</v>
      </c>
      <c r="D165" s="130"/>
      <c r="E165" s="131"/>
      <c r="F165" s="129"/>
      <c r="G165" s="127"/>
      <c r="H165" s="127"/>
      <c r="I165" s="127"/>
    </row>
    <row r="166" spans="1:9" x14ac:dyDescent="0.3">
      <c r="A166" s="130"/>
      <c r="B166" s="161" t="s">
        <v>496</v>
      </c>
      <c r="C166" s="139">
        <f>SUM(C165)</f>
        <v>2.5</v>
      </c>
      <c r="D166" s="130"/>
      <c r="E166" s="131"/>
      <c r="F166" s="129"/>
      <c r="G166" s="127"/>
      <c r="H166" s="127"/>
      <c r="I166" s="127"/>
    </row>
    <row r="167" spans="1:9" x14ac:dyDescent="0.3">
      <c r="A167" s="130"/>
      <c r="B167" s="130"/>
      <c r="C167" s="130"/>
      <c r="D167" s="130"/>
      <c r="E167" s="131"/>
      <c r="F167" s="129"/>
      <c r="G167" s="127"/>
      <c r="H167" s="127"/>
      <c r="I167" s="127"/>
    </row>
    <row r="168" spans="1:9" x14ac:dyDescent="0.3">
      <c r="A168" s="132" t="str">
        <f>+PRESUPUESTO!B45</f>
        <v>ITE5969</v>
      </c>
      <c r="B168" s="1148" t="str">
        <f>+PRESUPUESTO!C45</f>
        <v>VÁLVULA EB AC Ø 6" SELLO ELÁSTICO</v>
      </c>
      <c r="C168" s="1148"/>
      <c r="D168" s="1148"/>
      <c r="E168" s="1148"/>
      <c r="F168" s="133" t="str">
        <f>+PRESUPUESTO!D45</f>
        <v>Un</v>
      </c>
      <c r="G168" s="127"/>
      <c r="H168" s="127"/>
      <c r="I168" s="127"/>
    </row>
    <row r="169" spans="1:9" x14ac:dyDescent="0.3">
      <c r="A169" s="127"/>
      <c r="B169" s="1143" t="s">
        <v>553</v>
      </c>
      <c r="C169" s="1143"/>
      <c r="D169" s="1143"/>
      <c r="E169" s="1143"/>
      <c r="F169" s="162" t="s">
        <v>113</v>
      </c>
      <c r="G169" s="127"/>
      <c r="H169" s="127"/>
      <c r="I169" s="127"/>
    </row>
    <row r="170" spans="1:9" x14ac:dyDescent="0.3">
      <c r="A170" s="127"/>
      <c r="B170" s="1168" t="s">
        <v>674</v>
      </c>
      <c r="C170" s="1169"/>
      <c r="D170" s="1169"/>
      <c r="E170" s="1170"/>
      <c r="F170" s="151">
        <v>1</v>
      </c>
      <c r="G170" s="127"/>
      <c r="H170" s="127"/>
      <c r="I170" s="127"/>
    </row>
    <row r="171" spans="1:9" x14ac:dyDescent="0.3">
      <c r="A171" s="127"/>
      <c r="B171" s="1168" t="s">
        <v>675</v>
      </c>
      <c r="C171" s="1169"/>
      <c r="D171" s="1169"/>
      <c r="E171" s="1170"/>
      <c r="F171" s="151">
        <v>1</v>
      </c>
      <c r="G171" s="127"/>
      <c r="H171" s="127"/>
      <c r="I171" s="127"/>
    </row>
    <row r="172" spans="1:9" x14ac:dyDescent="0.3">
      <c r="A172" s="127"/>
      <c r="B172" s="1137" t="s">
        <v>496</v>
      </c>
      <c r="C172" s="1138"/>
      <c r="D172" s="1138"/>
      <c r="E172" s="1139"/>
      <c r="F172" s="145">
        <f>SUM(F170:F171)</f>
        <v>2</v>
      </c>
      <c r="G172" s="127"/>
      <c r="H172" s="127"/>
      <c r="I172" s="127"/>
    </row>
    <row r="173" spans="1:9" x14ac:dyDescent="0.3">
      <c r="A173" s="130"/>
      <c r="B173" s="130"/>
      <c r="C173" s="130"/>
      <c r="D173" s="130"/>
      <c r="E173" s="131"/>
      <c r="F173" s="129"/>
      <c r="G173" s="127"/>
      <c r="H173" s="127"/>
      <c r="I173" s="127"/>
    </row>
    <row r="174" spans="1:9" x14ac:dyDescent="0.3">
      <c r="A174" s="1147" t="s">
        <v>676</v>
      </c>
      <c r="B174" s="1147"/>
      <c r="C174" s="1147"/>
      <c r="D174" s="1147"/>
      <c r="E174" s="1147"/>
      <c r="F174" s="1147"/>
      <c r="G174" s="1147"/>
      <c r="H174" s="1147"/>
      <c r="I174" s="1147"/>
    </row>
    <row r="175" spans="1:9" x14ac:dyDescent="0.3">
      <c r="A175" s="130"/>
      <c r="B175" s="130"/>
      <c r="C175" s="130"/>
      <c r="D175" s="130"/>
      <c r="E175" s="131"/>
      <c r="F175" s="129"/>
      <c r="G175" s="127"/>
      <c r="H175" s="127"/>
      <c r="I175" s="127"/>
    </row>
    <row r="176" spans="1:9" ht="33" customHeight="1" x14ac:dyDescent="0.3">
      <c r="A176" s="132" t="str">
        <f>+PRESUPUESTO!B48</f>
        <v>ITE7245</v>
      </c>
      <c r="B176" s="1171" t="str">
        <f>+PRESUPUESTO!C48</f>
        <v>CONCRETO PARA CUERPO DE PANTALLA ANCLADA , f'c 28 MPa (4000 psi), INCLUYE TRASIEGO DE MATERIAL CON USO DE TARABITA</v>
      </c>
      <c r="C176" s="1172"/>
      <c r="D176" s="1172"/>
      <c r="E176" s="1172"/>
      <c r="F176" s="1172"/>
      <c r="G176" s="1172"/>
      <c r="H176" s="1173"/>
      <c r="I176" s="133" t="str">
        <f>+PRESUPUESTO!D48</f>
        <v>m3</v>
      </c>
    </row>
    <row r="177" spans="1:9" x14ac:dyDescent="0.3">
      <c r="A177" s="130"/>
      <c r="B177" s="1164" t="s">
        <v>553</v>
      </c>
      <c r="C177" s="1164"/>
      <c r="D177" s="1164"/>
      <c r="E177" s="1165"/>
      <c r="F177" s="160" t="s">
        <v>564</v>
      </c>
      <c r="G177" s="160" t="s">
        <v>560</v>
      </c>
      <c r="H177" s="160" t="s">
        <v>597</v>
      </c>
      <c r="I177" s="160" t="s">
        <v>601</v>
      </c>
    </row>
    <row r="178" spans="1:9" x14ac:dyDescent="0.3">
      <c r="A178" s="130"/>
      <c r="B178" s="1159" t="str">
        <f>+B39</f>
        <v>PANTALLA ANCLADA</v>
      </c>
      <c r="C178" s="1160"/>
      <c r="D178" s="1160"/>
      <c r="E178" s="1160"/>
      <c r="F178" s="136">
        <f>+F39</f>
        <v>20</v>
      </c>
      <c r="G178" s="136">
        <f>+G39</f>
        <v>20</v>
      </c>
      <c r="H178" s="136">
        <v>0.2</v>
      </c>
      <c r="I178" s="161">
        <f>+F178*G178*H178</f>
        <v>80</v>
      </c>
    </row>
    <row r="179" spans="1:9" x14ac:dyDescent="0.3">
      <c r="A179" s="130"/>
      <c r="B179" s="853" t="s">
        <v>496</v>
      </c>
      <c r="C179" s="853"/>
      <c r="D179" s="853"/>
      <c r="E179" s="853"/>
      <c r="F179" s="853"/>
      <c r="G179" s="853"/>
      <c r="H179" s="853"/>
      <c r="I179" s="145">
        <f>SUM(I178)</f>
        <v>80</v>
      </c>
    </row>
    <row r="180" spans="1:9" x14ac:dyDescent="0.3">
      <c r="A180" s="130"/>
      <c r="B180" s="130"/>
      <c r="C180" s="130"/>
      <c r="D180" s="130"/>
      <c r="E180" s="131"/>
      <c r="F180" s="129"/>
      <c r="G180" s="127"/>
      <c r="H180" s="127"/>
      <c r="I180" s="127"/>
    </row>
    <row r="181" spans="1:9" x14ac:dyDescent="0.3">
      <c r="A181" s="130"/>
      <c r="B181" s="130"/>
      <c r="C181" s="130"/>
      <c r="D181" s="130"/>
      <c r="E181" s="131"/>
      <c r="F181" s="129"/>
      <c r="G181" s="127"/>
      <c r="H181" s="127"/>
      <c r="I181" s="127"/>
    </row>
    <row r="182" spans="1:9" ht="65.25" customHeight="1" x14ac:dyDescent="0.3">
      <c r="A182" s="132" t="str">
        <f>+PRESUPUESTO!B49</f>
        <v>EPA0240</v>
      </c>
      <c r="B182" s="1148" t="str">
        <f>+PRESUPUESTO!C49</f>
        <v>BASE Y CAÑUELA PARA CÁMARA DE INSPECCIÓN D = 1,50 m EN CONCRETO DE f'c 21 MPa (3000 psi), INCLUYE TRASIEGO DE MATERIAL CON USO DE TARABITA</v>
      </c>
      <c r="C182" s="1148"/>
      <c r="D182" s="1148"/>
      <c r="E182" s="1148"/>
      <c r="F182" s="133" t="str">
        <f>+PRESUPUESTO!D49</f>
        <v>Un</v>
      </c>
      <c r="G182" s="127"/>
      <c r="H182" s="127"/>
      <c r="I182" s="127"/>
    </row>
    <row r="183" spans="1:9" x14ac:dyDescent="0.3">
      <c r="A183" s="127"/>
      <c r="B183" s="1143" t="s">
        <v>553</v>
      </c>
      <c r="C183" s="1143"/>
      <c r="D183" s="1143"/>
      <c r="E183" s="1143"/>
      <c r="F183" s="162" t="s">
        <v>113</v>
      </c>
      <c r="G183" s="127"/>
      <c r="H183" s="127"/>
      <c r="I183" s="127"/>
    </row>
    <row r="184" spans="1:9" x14ac:dyDescent="0.3">
      <c r="A184" s="127"/>
      <c r="B184" s="1168" t="s">
        <v>647</v>
      </c>
      <c r="C184" s="1169"/>
      <c r="D184" s="1169"/>
      <c r="E184" s="1170"/>
      <c r="F184" s="151">
        <v>1</v>
      </c>
      <c r="G184" s="127"/>
      <c r="H184" s="127"/>
      <c r="I184" s="127"/>
    </row>
    <row r="185" spans="1:9" x14ac:dyDescent="0.3">
      <c r="A185" s="127"/>
      <c r="B185" s="1168" t="s">
        <v>648</v>
      </c>
      <c r="C185" s="1169"/>
      <c r="D185" s="1169"/>
      <c r="E185" s="1170"/>
      <c r="F185" s="151">
        <v>1</v>
      </c>
      <c r="G185" s="127"/>
      <c r="H185" s="127"/>
      <c r="I185" s="127"/>
    </row>
    <row r="186" spans="1:9" x14ac:dyDescent="0.3">
      <c r="A186" s="127"/>
      <c r="B186" s="1168" t="s">
        <v>649</v>
      </c>
      <c r="C186" s="1169"/>
      <c r="D186" s="1169"/>
      <c r="E186" s="1170"/>
      <c r="F186" s="151">
        <v>1</v>
      </c>
      <c r="G186" s="127"/>
      <c r="H186" s="127"/>
      <c r="I186" s="127"/>
    </row>
    <row r="187" spans="1:9" x14ac:dyDescent="0.3">
      <c r="A187" s="127"/>
      <c r="B187" s="1168" t="s">
        <v>650</v>
      </c>
      <c r="C187" s="1169"/>
      <c r="D187" s="1169"/>
      <c r="E187" s="1170"/>
      <c r="F187" s="151">
        <v>1</v>
      </c>
      <c r="G187" s="127"/>
      <c r="H187" s="127"/>
      <c r="I187" s="127"/>
    </row>
    <row r="188" spans="1:9" x14ac:dyDescent="0.3">
      <c r="A188" s="127"/>
      <c r="B188" s="1168" t="s">
        <v>651</v>
      </c>
      <c r="C188" s="1169"/>
      <c r="D188" s="1169"/>
      <c r="E188" s="1170"/>
      <c r="F188" s="151">
        <v>1</v>
      </c>
      <c r="G188" s="127"/>
      <c r="H188" s="127"/>
      <c r="I188" s="127"/>
    </row>
    <row r="189" spans="1:9" x14ac:dyDescent="0.3">
      <c r="A189" s="127"/>
      <c r="B189" s="1168" t="s">
        <v>652</v>
      </c>
      <c r="C189" s="1169"/>
      <c r="D189" s="1169"/>
      <c r="E189" s="1170"/>
      <c r="F189" s="151">
        <v>1</v>
      </c>
      <c r="G189" s="127"/>
      <c r="H189" s="127"/>
      <c r="I189" s="127"/>
    </row>
    <row r="190" spans="1:9" x14ac:dyDescent="0.3">
      <c r="A190" s="127"/>
      <c r="B190" s="1168" t="s">
        <v>653</v>
      </c>
      <c r="C190" s="1169"/>
      <c r="D190" s="1169"/>
      <c r="E190" s="1170"/>
      <c r="F190" s="151">
        <v>1</v>
      </c>
      <c r="G190" s="127"/>
      <c r="H190" s="127"/>
      <c r="I190" s="127"/>
    </row>
    <row r="191" spans="1:9" x14ac:dyDescent="0.3">
      <c r="A191" s="127"/>
      <c r="B191" s="1137" t="s">
        <v>496</v>
      </c>
      <c r="C191" s="1138"/>
      <c r="D191" s="1138"/>
      <c r="E191" s="1139"/>
      <c r="F191" s="145">
        <f>SUM(F184:F190)</f>
        <v>7</v>
      </c>
      <c r="G191" s="127"/>
      <c r="H191" s="127"/>
      <c r="I191" s="127"/>
    </row>
    <row r="192" spans="1:9" x14ac:dyDescent="0.3">
      <c r="A192" s="130"/>
      <c r="B192" s="130"/>
      <c r="C192" s="130"/>
      <c r="D192" s="130"/>
      <c r="E192" s="131"/>
      <c r="F192" s="129"/>
      <c r="G192" s="127"/>
      <c r="H192" s="127"/>
      <c r="I192" s="127"/>
    </row>
    <row r="193" spans="1:9" x14ac:dyDescent="0.3">
      <c r="A193" s="132" t="str">
        <f>+PRESUPUESTO!B50</f>
        <v>EPA0237</v>
      </c>
      <c r="B193" s="1148" t="str">
        <f>+PRESUPUESTO!C50</f>
        <v>CUERPO PARA CÁMARA DE INSPECCIÓN D = 1,50 m, EN CONCRETO DE f'c 21 MPa (3000 psi), INCLUYE ESTRIBOS</v>
      </c>
      <c r="C193" s="1148"/>
      <c r="D193" s="1148"/>
      <c r="E193" s="1148"/>
      <c r="F193" s="133" t="str">
        <f>+PRESUPUESTO!D50</f>
        <v>m</v>
      </c>
      <c r="G193" s="127"/>
      <c r="H193" s="127"/>
      <c r="I193" s="127"/>
    </row>
    <row r="194" spans="1:9" x14ac:dyDescent="0.3">
      <c r="A194" s="127"/>
      <c r="B194" s="1143" t="s">
        <v>553</v>
      </c>
      <c r="C194" s="1143"/>
      <c r="D194" s="1143"/>
      <c r="E194" s="1143"/>
      <c r="F194" s="162" t="s">
        <v>113</v>
      </c>
      <c r="G194" s="127"/>
      <c r="H194" s="127"/>
      <c r="I194" s="127"/>
    </row>
    <row r="195" spans="1:9" x14ac:dyDescent="0.3">
      <c r="A195" s="127"/>
      <c r="B195" s="1168" t="s">
        <v>647</v>
      </c>
      <c r="C195" s="1169"/>
      <c r="D195" s="1169"/>
      <c r="E195" s="1170"/>
      <c r="F195" s="199">
        <f t="shared" ref="F195:F201" si="22">+D115</f>
        <v>1.7307350348721684</v>
      </c>
      <c r="G195" s="127"/>
      <c r="H195" s="127"/>
      <c r="I195" s="127"/>
    </row>
    <row r="196" spans="1:9" x14ac:dyDescent="0.3">
      <c r="A196" s="127"/>
      <c r="B196" s="1168" t="s">
        <v>648</v>
      </c>
      <c r="C196" s="1169"/>
      <c r="D196" s="1169"/>
      <c r="E196" s="1170"/>
      <c r="F196" s="199">
        <f t="shared" si="22"/>
        <v>1.8181245775838306</v>
      </c>
      <c r="G196" s="127"/>
      <c r="H196" s="127"/>
      <c r="I196" s="127"/>
    </row>
    <row r="197" spans="1:9" x14ac:dyDescent="0.3">
      <c r="A197" s="127"/>
      <c r="B197" s="1168" t="s">
        <v>649</v>
      </c>
      <c r="C197" s="1169"/>
      <c r="D197" s="1169"/>
      <c r="E197" s="1170"/>
      <c r="F197" s="199">
        <f t="shared" si="22"/>
        <v>2.3703546838951297</v>
      </c>
      <c r="G197" s="127"/>
      <c r="H197" s="127"/>
      <c r="I197" s="127"/>
    </row>
    <row r="198" spans="1:9" x14ac:dyDescent="0.3">
      <c r="A198" s="127"/>
      <c r="B198" s="1168" t="s">
        <v>650</v>
      </c>
      <c r="C198" s="1169"/>
      <c r="D198" s="1169"/>
      <c r="E198" s="1170"/>
      <c r="F198" s="199">
        <f t="shared" si="22"/>
        <v>2.0863399269148886</v>
      </c>
      <c r="G198" s="127"/>
      <c r="H198" s="127"/>
      <c r="I198" s="127"/>
    </row>
    <row r="199" spans="1:9" x14ac:dyDescent="0.3">
      <c r="A199" s="127"/>
      <c r="B199" s="1168" t="s">
        <v>651</v>
      </c>
      <c r="C199" s="1169"/>
      <c r="D199" s="1169"/>
      <c r="E199" s="1170"/>
      <c r="F199" s="199">
        <f t="shared" si="22"/>
        <v>2.1325562750480458</v>
      </c>
      <c r="G199" s="127"/>
      <c r="H199" s="127"/>
      <c r="I199" s="127"/>
    </row>
    <row r="200" spans="1:9" x14ac:dyDescent="0.3">
      <c r="A200" s="127"/>
      <c r="B200" s="1168" t="s">
        <v>652</v>
      </c>
      <c r="C200" s="1169"/>
      <c r="D200" s="1169"/>
      <c r="E200" s="1170"/>
      <c r="F200" s="199">
        <f t="shared" si="22"/>
        <v>1.892706348535512</v>
      </c>
      <c r="G200" s="127"/>
      <c r="H200" s="127"/>
      <c r="I200" s="127"/>
    </row>
    <row r="201" spans="1:9" x14ac:dyDescent="0.3">
      <c r="A201" s="127"/>
      <c r="B201" s="1168" t="s">
        <v>653</v>
      </c>
      <c r="C201" s="1169"/>
      <c r="D201" s="1169"/>
      <c r="E201" s="1170"/>
      <c r="F201" s="199">
        <f t="shared" si="22"/>
        <v>2.4077984529369587</v>
      </c>
      <c r="G201" s="127"/>
      <c r="H201" s="127"/>
      <c r="I201" s="127"/>
    </row>
    <row r="202" spans="1:9" x14ac:dyDescent="0.3">
      <c r="A202" s="127"/>
      <c r="B202" s="1137" t="s">
        <v>496</v>
      </c>
      <c r="C202" s="1138"/>
      <c r="D202" s="1138"/>
      <c r="E202" s="1139"/>
      <c r="F202" s="148">
        <f>SUM(F195:F201)</f>
        <v>14.438615299786534</v>
      </c>
      <c r="G202" s="127"/>
      <c r="H202" s="127"/>
      <c r="I202" s="127"/>
    </row>
    <row r="203" spans="1:9" x14ac:dyDescent="0.3">
      <c r="A203" s="130"/>
      <c r="B203" s="130"/>
      <c r="C203" s="130"/>
      <c r="D203" s="130"/>
      <c r="E203" s="131"/>
      <c r="F203" s="129"/>
      <c r="G203" s="127"/>
      <c r="H203" s="127"/>
      <c r="I203" s="127"/>
    </row>
    <row r="204" spans="1:9" ht="49.5" customHeight="1" x14ac:dyDescent="0.3">
      <c r="A204" s="132" t="str">
        <f>+PRESUPUESTO!B53</f>
        <v>ITE5214</v>
      </c>
      <c r="B204" s="1171" t="str">
        <f>+PRESUPUESTO!C53</f>
        <v>PLACA SUPERIOR Y DE FONDO EN CONCRETO PARA CÁMARA ESPECIAL DE f'c 21 MPa (3000 psi), e = 0,15 m, INCLUYE REFUERZO, INCLUYE TRASIEGO DE MATERIAL CON USO DE TARABITA</v>
      </c>
      <c r="C204" s="1172"/>
      <c r="D204" s="1172"/>
      <c r="E204" s="1172"/>
      <c r="F204" s="1172"/>
      <c r="G204" s="1173"/>
      <c r="H204" s="133" t="str">
        <f>+PRESUPUESTO!D53</f>
        <v>m2</v>
      </c>
      <c r="I204" s="127"/>
    </row>
    <row r="205" spans="1:9" x14ac:dyDescent="0.3">
      <c r="A205" s="127"/>
      <c r="B205" s="1200" t="s">
        <v>553</v>
      </c>
      <c r="C205" s="1200"/>
      <c r="D205" s="1200"/>
      <c r="E205" s="1200"/>
      <c r="F205" s="1200"/>
      <c r="G205" s="1200"/>
      <c r="H205" s="134" t="s">
        <v>554</v>
      </c>
      <c r="I205" s="127"/>
    </row>
    <row r="206" spans="1:9" x14ac:dyDescent="0.3">
      <c r="A206" s="127"/>
      <c r="B206" s="1201" t="s">
        <v>677</v>
      </c>
      <c r="C206" s="1202"/>
      <c r="D206" s="1202"/>
      <c r="E206" s="1202"/>
      <c r="F206" s="1202"/>
      <c r="G206" s="1203"/>
      <c r="H206" s="136">
        <v>3.75</v>
      </c>
      <c r="I206" s="127"/>
    </row>
    <row r="207" spans="1:9" x14ac:dyDescent="0.3">
      <c r="A207" s="127"/>
      <c r="B207" s="1201" t="s">
        <v>678</v>
      </c>
      <c r="C207" s="1202"/>
      <c r="D207" s="1202"/>
      <c r="E207" s="1202"/>
      <c r="F207" s="1202"/>
      <c r="G207" s="1203"/>
      <c r="H207" s="138">
        <v>3.81</v>
      </c>
      <c r="I207" s="127"/>
    </row>
    <row r="208" spans="1:9" x14ac:dyDescent="0.3">
      <c r="A208" s="127"/>
      <c r="B208" s="1137" t="s">
        <v>496</v>
      </c>
      <c r="C208" s="1138"/>
      <c r="D208" s="1138"/>
      <c r="E208" s="1138"/>
      <c r="F208" s="1138"/>
      <c r="G208" s="1139"/>
      <c r="H208" s="139">
        <f>SUM(H206:H207)</f>
        <v>7.5600000000000005</v>
      </c>
      <c r="I208" s="127"/>
    </row>
    <row r="209" spans="1:11" x14ac:dyDescent="0.3">
      <c r="A209" s="130"/>
      <c r="B209" s="130"/>
      <c r="C209" s="130"/>
      <c r="D209" s="130"/>
      <c r="E209" s="131"/>
      <c r="F209" s="129"/>
      <c r="G209" s="127"/>
      <c r="H209" s="127"/>
      <c r="I209" s="127"/>
    </row>
    <row r="210" spans="1:11" ht="33.75" customHeight="1" x14ac:dyDescent="0.3">
      <c r="A210" s="132" t="str">
        <f>+PRESUPUESTO!B54</f>
        <v>ITE5268</v>
      </c>
      <c r="B210" s="1148" t="str">
        <f>+PRESUPUESTO!C54</f>
        <v>MUROS EN CONCRETO IMPERMEABILIZADO DE f'c 21 MPa (3000 psi) e= 0,25 m, PARA CAMARAS ESPECIALES, INCLUYE TRASIEGO DE MATERIAL CON USO DE TARABITA</v>
      </c>
      <c r="C210" s="1148"/>
      <c r="D210" s="1148"/>
      <c r="E210" s="1148"/>
      <c r="F210" s="1148"/>
      <c r="G210" s="1148"/>
      <c r="H210" s="1148"/>
      <c r="I210" s="133" t="str">
        <f>+PRESUPUESTO!D54</f>
        <v>m3</v>
      </c>
    </row>
    <row r="211" spans="1:11" ht="27.6" x14ac:dyDescent="0.3">
      <c r="A211" s="127"/>
      <c r="B211" s="1143" t="s">
        <v>553</v>
      </c>
      <c r="C211" s="1143"/>
      <c r="D211" s="1143"/>
      <c r="E211" s="1143"/>
      <c r="F211" s="140" t="s">
        <v>557</v>
      </c>
      <c r="G211" s="140" t="s">
        <v>555</v>
      </c>
      <c r="H211" s="140" t="s">
        <v>558</v>
      </c>
      <c r="I211" s="135" t="s">
        <v>556</v>
      </c>
    </row>
    <row r="212" spans="1:11" ht="33.75" customHeight="1" x14ac:dyDescent="0.3">
      <c r="A212" s="127"/>
      <c r="B212" s="1154" t="s">
        <v>677</v>
      </c>
      <c r="C212" s="1154"/>
      <c r="D212" s="1154"/>
      <c r="E212" s="1154"/>
      <c r="F212" s="136">
        <v>5.55</v>
      </c>
      <c r="G212" s="136">
        <v>0.25</v>
      </c>
      <c r="H212" s="141">
        <v>2.5299999999999998</v>
      </c>
      <c r="I212" s="141">
        <f>+F212*G212*H212</f>
        <v>3.5103749999999998</v>
      </c>
    </row>
    <row r="213" spans="1:11" x14ac:dyDescent="0.3">
      <c r="A213" s="127"/>
      <c r="B213" s="1154" t="s">
        <v>678</v>
      </c>
      <c r="C213" s="1154"/>
      <c r="D213" s="1154"/>
      <c r="E213" s="1154"/>
      <c r="F213" s="136">
        <v>5.65</v>
      </c>
      <c r="G213" s="136">
        <v>0.25</v>
      </c>
      <c r="H213" s="141">
        <v>2.71</v>
      </c>
      <c r="I213" s="141">
        <f>+F213*G213*H213</f>
        <v>3.8278750000000001</v>
      </c>
    </row>
    <row r="214" spans="1:11" x14ac:dyDescent="0.3">
      <c r="A214" s="127"/>
      <c r="B214" s="1137" t="s">
        <v>496</v>
      </c>
      <c r="C214" s="1138"/>
      <c r="D214" s="1138"/>
      <c r="E214" s="1138"/>
      <c r="F214" s="1138"/>
      <c r="G214" s="1138"/>
      <c r="H214" s="1139"/>
      <c r="I214" s="142">
        <f>SUM(I212:I213)</f>
        <v>7.3382500000000004</v>
      </c>
    </row>
    <row r="215" spans="1:11" x14ac:dyDescent="0.3">
      <c r="A215" s="130"/>
      <c r="B215" s="130"/>
      <c r="C215" s="130"/>
      <c r="D215" s="130"/>
      <c r="E215" s="131"/>
      <c r="F215" s="129"/>
      <c r="G215" s="127"/>
      <c r="H215" s="127"/>
      <c r="I215" s="127"/>
    </row>
    <row r="216" spans="1:11" ht="32.25" customHeight="1" x14ac:dyDescent="0.3">
      <c r="A216" s="132" t="str">
        <f>+PRESUPUESTO!B55</f>
        <v>ITE5805</v>
      </c>
      <c r="B216" s="1148" t="str">
        <f>+PRESUPUESTO!C55</f>
        <v>PLACA SUPERIOR EN CONCRETO DE f'c 24 MPa (3500 psi), e = 0,25 m, PARA CAMARAS ESPECIALES, INCLUYE TAPA EN POLIPROPILENO, INCLUYE TRASIEGO DE MATERIAL CON USO DE TARABITA</v>
      </c>
      <c r="C216" s="1148"/>
      <c r="D216" s="1148"/>
      <c r="E216" s="1148"/>
      <c r="F216" s="1148"/>
      <c r="G216" s="1148"/>
      <c r="H216" s="1148"/>
      <c r="I216" s="1148"/>
      <c r="J216" s="1148"/>
      <c r="K216" s="133" t="str">
        <f>+PRESUPUESTO!D55</f>
        <v>m3</v>
      </c>
    </row>
    <row r="217" spans="1:11" ht="41.4" x14ac:dyDescent="0.3">
      <c r="A217" s="127"/>
      <c r="B217" s="1143" t="s">
        <v>553</v>
      </c>
      <c r="C217" s="1143"/>
      <c r="D217" s="1143"/>
      <c r="E217" s="1143"/>
      <c r="F217" s="1143"/>
      <c r="G217" s="144" t="s">
        <v>680</v>
      </c>
      <c r="H217" s="144" t="s">
        <v>679</v>
      </c>
      <c r="I217" s="144" t="s">
        <v>681</v>
      </c>
      <c r="J217" s="140" t="s">
        <v>555</v>
      </c>
      <c r="K217" s="162" t="s">
        <v>556</v>
      </c>
    </row>
    <row r="218" spans="1:11" x14ac:dyDescent="0.3">
      <c r="A218" s="127"/>
      <c r="B218" s="1183" t="s">
        <v>677</v>
      </c>
      <c r="C218" s="1183"/>
      <c r="D218" s="1183"/>
      <c r="E218" s="1183"/>
      <c r="F218" s="1183"/>
      <c r="G218" s="136">
        <v>3.75</v>
      </c>
      <c r="H218" s="141">
        <f>+PI()*0.6*0.6/4</f>
        <v>0.28274333882308139</v>
      </c>
      <c r="I218" s="141">
        <f>+G218-H218</f>
        <v>3.4672566611769184</v>
      </c>
      <c r="J218" s="141">
        <v>0.25</v>
      </c>
      <c r="K218" s="141">
        <f>+I218*J218</f>
        <v>0.86681416529422961</v>
      </c>
    </row>
    <row r="219" spans="1:11" x14ac:dyDescent="0.3">
      <c r="A219" s="127"/>
      <c r="B219" s="1183" t="s">
        <v>678</v>
      </c>
      <c r="C219" s="1183"/>
      <c r="D219" s="1183"/>
      <c r="E219" s="1183"/>
      <c r="F219" s="1183"/>
      <c r="G219" s="136">
        <v>3.81</v>
      </c>
      <c r="H219" s="141">
        <f>+PI()*0.6*0.6/4</f>
        <v>0.28274333882308139</v>
      </c>
      <c r="I219" s="141">
        <f>+G219-H219</f>
        <v>3.5272566611769185</v>
      </c>
      <c r="J219" s="141">
        <v>0.25</v>
      </c>
      <c r="K219" s="141">
        <f>+I219*J219</f>
        <v>0.88181416529422962</v>
      </c>
    </row>
    <row r="220" spans="1:11" x14ac:dyDescent="0.3">
      <c r="A220" s="127"/>
      <c r="B220" s="1146" t="s">
        <v>496</v>
      </c>
      <c r="C220" s="1146"/>
      <c r="D220" s="1146"/>
      <c r="E220" s="1146"/>
      <c r="F220" s="1146"/>
      <c r="G220" s="1146"/>
      <c r="H220" s="1146"/>
      <c r="I220" s="1146"/>
      <c r="J220" s="1146"/>
      <c r="K220" s="142">
        <f>SUM(K218:K219)</f>
        <v>1.7486283305884593</v>
      </c>
    </row>
    <row r="221" spans="1:11" x14ac:dyDescent="0.3">
      <c r="A221" s="130"/>
      <c r="B221" s="130"/>
      <c r="C221" s="130"/>
      <c r="D221" s="130"/>
      <c r="E221" s="131"/>
      <c r="F221" s="129"/>
      <c r="G221" s="127"/>
      <c r="H221" s="127"/>
      <c r="I221" s="127"/>
    </row>
    <row r="222" spans="1:11" x14ac:dyDescent="0.3">
      <c r="A222" s="1147" t="s">
        <v>682</v>
      </c>
      <c r="B222" s="1147"/>
      <c r="C222" s="1147"/>
      <c r="D222" s="1147"/>
      <c r="E222" s="1147"/>
      <c r="F222" s="1147"/>
      <c r="G222" s="1147"/>
      <c r="H222" s="1147"/>
      <c r="I222" s="1147"/>
    </row>
    <row r="223" spans="1:11" x14ac:dyDescent="0.3">
      <c r="A223" s="130"/>
      <c r="B223" s="130"/>
      <c r="C223" s="130"/>
      <c r="D223" s="130"/>
      <c r="E223" s="131"/>
      <c r="F223" s="129"/>
      <c r="G223" s="127"/>
      <c r="H223" s="127"/>
      <c r="I223" s="127"/>
    </row>
    <row r="224" spans="1:11" x14ac:dyDescent="0.3">
      <c r="A224" s="132" t="str">
        <f>+PRESUPUESTO!B57</f>
        <v>EPA0008</v>
      </c>
      <c r="B224" s="1148" t="str">
        <f>+PRESUPUESTO!C57</f>
        <v>ACERO Fy= 420 MPa (60.000 Psi) DE REFUERZO, PARA PANTALLA ANCLADA</v>
      </c>
      <c r="C224" s="1148"/>
      <c r="D224" s="1148"/>
      <c r="E224" s="1148"/>
      <c r="F224" s="1148"/>
      <c r="G224" s="1148"/>
      <c r="H224" s="1148"/>
      <c r="I224" s="133" t="str">
        <f>+PRESUPUESTO!D57</f>
        <v>Kg</v>
      </c>
    </row>
    <row r="225" spans="1:13" x14ac:dyDescent="0.3">
      <c r="A225" s="130"/>
      <c r="B225" s="130"/>
      <c r="C225" s="130"/>
      <c r="D225" s="130"/>
      <c r="E225" s="131"/>
      <c r="F225" s="129"/>
      <c r="G225" s="127"/>
      <c r="H225" s="127"/>
      <c r="I225" s="127"/>
    </row>
    <row r="226" spans="1:13" ht="27.6" x14ac:dyDescent="0.3">
      <c r="A226" s="130"/>
      <c r="B226" s="1150" t="s">
        <v>553</v>
      </c>
      <c r="C226" s="1150"/>
      <c r="D226" s="144" t="s">
        <v>559</v>
      </c>
      <c r="E226" s="144" t="s">
        <v>683</v>
      </c>
      <c r="F226" s="144" t="s">
        <v>684</v>
      </c>
      <c r="G226" s="144" t="s">
        <v>685</v>
      </c>
      <c r="H226" s="144" t="s">
        <v>686</v>
      </c>
      <c r="I226" s="144" t="s">
        <v>687</v>
      </c>
      <c r="J226" s="144" t="s">
        <v>688</v>
      </c>
      <c r="K226" s="144" t="s">
        <v>689</v>
      </c>
    </row>
    <row r="227" spans="1:13" x14ac:dyDescent="0.3">
      <c r="A227" s="130"/>
      <c r="B227" s="1183" t="s">
        <v>690</v>
      </c>
      <c r="C227" s="1183"/>
      <c r="D227" s="136">
        <v>133</v>
      </c>
      <c r="E227" s="136">
        <v>4</v>
      </c>
      <c r="F227" s="136">
        <v>1</v>
      </c>
      <c r="G227" s="136">
        <f>20-0.14</f>
        <v>19.86</v>
      </c>
      <c r="H227" s="136">
        <f>+IF(G227&lt;6,0,ROUND(G227/6,0))</f>
        <v>3</v>
      </c>
      <c r="I227" s="136">
        <v>0.56000000000000005</v>
      </c>
      <c r="J227" s="136">
        <f>+G227*D227+H227*I227</f>
        <v>2643.06</v>
      </c>
      <c r="K227" s="136">
        <f>+J227*F227</f>
        <v>2643.06</v>
      </c>
    </row>
    <row r="228" spans="1:13" x14ac:dyDescent="0.3">
      <c r="A228" s="130"/>
      <c r="B228" s="1183" t="s">
        <v>691</v>
      </c>
      <c r="C228" s="1183"/>
      <c r="D228" s="136">
        <v>133</v>
      </c>
      <c r="E228" s="136">
        <v>4</v>
      </c>
      <c r="F228" s="136">
        <v>1</v>
      </c>
      <c r="G228" s="136">
        <f>20-0.14</f>
        <v>19.86</v>
      </c>
      <c r="H228" s="136">
        <f t="shared" ref="H228" si="23">+IF(G228&lt;6,0,ROUND(G228/6,0))</f>
        <v>3</v>
      </c>
      <c r="I228" s="136">
        <v>0.56000000000000005</v>
      </c>
      <c r="J228" s="136">
        <f t="shared" ref="J228" si="24">+G228*D228+H228*I228</f>
        <v>2643.06</v>
      </c>
      <c r="K228" s="136">
        <f t="shared" ref="K228" si="25">+J228*F228</f>
        <v>2643.06</v>
      </c>
    </row>
    <row r="229" spans="1:13" x14ac:dyDescent="0.3">
      <c r="A229" s="130"/>
      <c r="B229" s="1183" t="s">
        <v>692</v>
      </c>
      <c r="C229" s="1183"/>
      <c r="D229" s="136">
        <v>6</v>
      </c>
      <c r="E229" s="136">
        <v>3</v>
      </c>
      <c r="F229" s="136">
        <v>0.56000000000000005</v>
      </c>
      <c r="G229" s="136">
        <f>20-0.14</f>
        <v>19.86</v>
      </c>
      <c r="H229" s="136">
        <f>+IF(G229&lt;6,0,ROUND(G229/6,0))</f>
        <v>3</v>
      </c>
      <c r="I229" s="136">
        <v>0.5</v>
      </c>
      <c r="J229" s="136">
        <f>+G229*D229+H229*I229</f>
        <v>120.66</v>
      </c>
      <c r="K229" s="136">
        <f>+J229*F229</f>
        <v>67.569600000000008</v>
      </c>
    </row>
    <row r="230" spans="1:13" x14ac:dyDescent="0.3">
      <c r="A230" s="130"/>
      <c r="B230" s="1183" t="s">
        <v>693</v>
      </c>
      <c r="C230" s="1183"/>
      <c r="D230" s="136">
        <f>20/0.2</f>
        <v>100</v>
      </c>
      <c r="E230" s="136">
        <v>3</v>
      </c>
      <c r="F230" s="136">
        <v>0.56000000000000005</v>
      </c>
      <c r="G230" s="136">
        <v>0.68</v>
      </c>
      <c r="H230" s="136">
        <f>+IF(G230&lt;6,0,ROUND(G230/6,0))</f>
        <v>0</v>
      </c>
      <c r="I230" s="136">
        <v>0.5</v>
      </c>
      <c r="J230" s="136">
        <f>+G230*D230+H230*I230</f>
        <v>68</v>
      </c>
      <c r="K230" s="136">
        <f>+J230*F230</f>
        <v>38.080000000000005</v>
      </c>
    </row>
    <row r="231" spans="1:13" x14ac:dyDescent="0.3">
      <c r="A231" s="130"/>
      <c r="B231" s="1146" t="s">
        <v>496</v>
      </c>
      <c r="C231" s="1146"/>
      <c r="D231" s="1146"/>
      <c r="E231" s="1146"/>
      <c r="F231" s="1146"/>
      <c r="G231" s="1146"/>
      <c r="H231" s="1146"/>
      <c r="I231" s="1146"/>
      <c r="J231" s="1146"/>
      <c r="K231" s="142">
        <f>ROUND(SUM(K227:K230),0)</f>
        <v>5392</v>
      </c>
    </row>
    <row r="232" spans="1:13" x14ac:dyDescent="0.3">
      <c r="A232" s="130"/>
      <c r="B232" s="130"/>
      <c r="C232" s="130"/>
      <c r="D232" s="130"/>
      <c r="E232" s="131"/>
      <c r="F232" s="129"/>
      <c r="G232" s="127"/>
      <c r="H232" s="127"/>
      <c r="I232" s="127"/>
    </row>
    <row r="233" spans="1:13" x14ac:dyDescent="0.3">
      <c r="A233" s="132" t="str">
        <f>+PRESUPUESTO!B58</f>
        <v>EPA0008</v>
      </c>
      <c r="B233" s="1148" t="str">
        <f>+PRESUPUESTO!C58</f>
        <v>ACERO Fy= 420 MPa (60.000 Psi) DE REFUERZO , PARA CUERPO DE CAMARAS</v>
      </c>
      <c r="C233" s="1148"/>
      <c r="D233" s="1148"/>
      <c r="E233" s="1148"/>
      <c r="F233" s="1148"/>
      <c r="G233" s="1148"/>
      <c r="H233" s="1148"/>
      <c r="I233" s="133" t="s">
        <v>698</v>
      </c>
    </row>
    <row r="234" spans="1:13" x14ac:dyDescent="0.3">
      <c r="A234" s="130"/>
      <c r="B234" s="130"/>
      <c r="C234" s="130"/>
      <c r="D234" s="130"/>
      <c r="E234" s="131"/>
      <c r="F234" s="129"/>
      <c r="G234" s="127"/>
      <c r="H234" s="127"/>
      <c r="I234" s="127"/>
      <c r="M234">
        <v>18.850000000000001</v>
      </c>
    </row>
    <row r="235" spans="1:13" ht="27.6" x14ac:dyDescent="0.3">
      <c r="A235" s="130"/>
      <c r="B235" s="1150" t="s">
        <v>553</v>
      </c>
      <c r="C235" s="1150"/>
      <c r="D235" s="144" t="s">
        <v>559</v>
      </c>
      <c r="E235" s="144" t="s">
        <v>683</v>
      </c>
      <c r="F235" s="144" t="s">
        <v>684</v>
      </c>
      <c r="G235" s="144" t="s">
        <v>685</v>
      </c>
      <c r="H235" s="144" t="s">
        <v>686</v>
      </c>
      <c r="I235" s="144" t="s">
        <v>687</v>
      </c>
      <c r="J235" s="144" t="s">
        <v>688</v>
      </c>
      <c r="K235" s="144" t="s">
        <v>689</v>
      </c>
      <c r="M235">
        <f>+M234/0.5</f>
        <v>37.700000000000003</v>
      </c>
    </row>
    <row r="236" spans="1:13" x14ac:dyDescent="0.3">
      <c r="A236" s="130"/>
      <c r="B236" s="1183" t="s">
        <v>696</v>
      </c>
      <c r="C236" s="1183"/>
      <c r="D236" s="136">
        <v>38</v>
      </c>
      <c r="E236" s="136">
        <v>4</v>
      </c>
      <c r="F236" s="136">
        <v>1</v>
      </c>
      <c r="G236" s="136">
        <v>1</v>
      </c>
      <c r="H236" s="136">
        <v>2</v>
      </c>
      <c r="I236" s="136">
        <v>0.1</v>
      </c>
      <c r="J236" s="136">
        <f>+G236*D236+H236*I236</f>
        <v>38.200000000000003</v>
      </c>
      <c r="K236" s="136">
        <f>+J236*F236</f>
        <v>38.200000000000003</v>
      </c>
    </row>
    <row r="237" spans="1:13" x14ac:dyDescent="0.3">
      <c r="A237" s="130"/>
      <c r="B237" s="1183" t="s">
        <v>697</v>
      </c>
      <c r="C237" s="1183"/>
      <c r="D237" s="136">
        <v>3</v>
      </c>
      <c r="E237" s="136">
        <v>3</v>
      </c>
      <c r="F237" s="136">
        <v>0.56000000000000005</v>
      </c>
      <c r="G237" s="136">
        <v>18.850000000000001</v>
      </c>
      <c r="H237" s="136">
        <v>2</v>
      </c>
      <c r="I237" s="136">
        <v>0.1</v>
      </c>
      <c r="J237" s="136">
        <f>+G237*D237+H237*I237</f>
        <v>56.750000000000007</v>
      </c>
      <c r="K237" s="136">
        <f>+J237*F237</f>
        <v>31.780000000000008</v>
      </c>
    </row>
    <row r="238" spans="1:13" x14ac:dyDescent="0.3">
      <c r="A238" s="130"/>
      <c r="B238" s="130"/>
      <c r="C238" s="130"/>
      <c r="D238" s="130"/>
      <c r="E238" s="131"/>
      <c r="F238" s="129"/>
      <c r="G238" s="127"/>
      <c r="H238" s="127"/>
      <c r="I238" s="127"/>
      <c r="K238" s="142">
        <f>ROUND(SUM(K236:K237),0)</f>
        <v>70</v>
      </c>
    </row>
    <row r="239" spans="1:13" x14ac:dyDescent="0.3">
      <c r="A239" s="130"/>
      <c r="B239" s="130"/>
      <c r="C239" s="130"/>
      <c r="D239" s="130"/>
      <c r="E239" s="131"/>
      <c r="F239" s="129"/>
      <c r="G239" s="127"/>
      <c r="H239" s="127"/>
      <c r="I239" s="127"/>
    </row>
    <row r="240" spans="1:13" x14ac:dyDescent="0.3">
      <c r="A240" s="130"/>
      <c r="B240" s="130"/>
      <c r="C240" s="130"/>
      <c r="D240" s="130"/>
      <c r="E240" s="131"/>
      <c r="F240" s="129"/>
      <c r="G240" s="127"/>
      <c r="H240" s="1212" t="s">
        <v>699</v>
      </c>
      <c r="I240" s="1212"/>
      <c r="J240" s="1212"/>
      <c r="K240" s="148">
        <f>+F202</f>
        <v>14.438615299786534</v>
      </c>
    </row>
    <row r="241" spans="1:11" x14ac:dyDescent="0.3">
      <c r="A241" s="130"/>
      <c r="B241" s="1146" t="s">
        <v>700</v>
      </c>
      <c r="C241" s="1146"/>
      <c r="D241" s="1146"/>
      <c r="E241" s="1146"/>
      <c r="F241" s="1146"/>
      <c r="G241" s="1146"/>
      <c r="H241" s="1146"/>
      <c r="I241" s="1146"/>
      <c r="J241" s="1146"/>
      <c r="K241" s="142">
        <f>+K238*K240</f>
        <v>1010.7030709850574</v>
      </c>
    </row>
    <row r="242" spans="1:11" x14ac:dyDescent="0.3">
      <c r="A242" s="130"/>
      <c r="B242" s="130"/>
      <c r="C242" s="130"/>
      <c r="D242" s="130"/>
      <c r="E242" s="131"/>
      <c r="F242" s="129"/>
      <c r="G242" s="127"/>
      <c r="H242" s="127"/>
      <c r="I242" s="127"/>
    </row>
    <row r="243" spans="1:11" x14ac:dyDescent="0.3">
      <c r="A243" s="1147" t="s">
        <v>701</v>
      </c>
      <c r="B243" s="1147"/>
      <c r="C243" s="1147"/>
      <c r="D243" s="1147"/>
      <c r="E243" s="1147"/>
      <c r="F243" s="1147"/>
      <c r="G243" s="1147"/>
      <c r="H243" s="1147"/>
      <c r="I243" s="1147"/>
    </row>
    <row r="244" spans="1:11" x14ac:dyDescent="0.3">
      <c r="A244" s="130"/>
      <c r="B244" s="130"/>
      <c r="C244" s="130"/>
      <c r="D244" s="130"/>
      <c r="E244" s="131"/>
      <c r="F244" s="129"/>
      <c r="G244" s="127"/>
      <c r="H244" s="127"/>
      <c r="I244" s="127"/>
    </row>
    <row r="245" spans="1:11" ht="33.75" customHeight="1" x14ac:dyDescent="0.3">
      <c r="A245" s="132" t="str">
        <f>+PRESUPUESTO!B60</f>
        <v>ITE5580</v>
      </c>
      <c r="B245" s="1148" t="s">
        <v>158</v>
      </c>
      <c r="C245" s="1148"/>
      <c r="D245" s="1148"/>
      <c r="E245" s="1148"/>
      <c r="F245" s="1148"/>
      <c r="G245" s="1148"/>
      <c r="H245" s="1148"/>
      <c r="I245" s="133" t="str">
        <f>+PRESUPUESTO!D60</f>
        <v>m</v>
      </c>
    </row>
    <row r="246" spans="1:11" x14ac:dyDescent="0.3">
      <c r="A246" s="130"/>
      <c r="B246" s="130"/>
      <c r="C246" s="130"/>
      <c r="D246" s="130"/>
      <c r="E246" s="131"/>
      <c r="F246" s="129"/>
      <c r="G246" s="127"/>
      <c r="H246" s="127"/>
      <c r="I246" s="127"/>
    </row>
    <row r="247" spans="1:11" ht="55.2" x14ac:dyDescent="0.3">
      <c r="A247" s="130"/>
      <c r="B247" s="1150" t="s">
        <v>553</v>
      </c>
      <c r="C247" s="1150"/>
      <c r="D247" s="1150"/>
      <c r="E247" s="144" t="s">
        <v>705</v>
      </c>
      <c r="F247" s="144" t="s">
        <v>703</v>
      </c>
      <c r="G247" s="144" t="s">
        <v>559</v>
      </c>
      <c r="H247" s="144" t="s">
        <v>704</v>
      </c>
      <c r="I247" s="144" t="s">
        <v>685</v>
      </c>
      <c r="J247" s="202"/>
    </row>
    <row r="248" spans="1:11" x14ac:dyDescent="0.3">
      <c r="A248" s="130"/>
      <c r="B248" s="1183" t="s">
        <v>702</v>
      </c>
      <c r="C248" s="1183"/>
      <c r="D248" s="1183"/>
      <c r="E248" s="136">
        <v>20</v>
      </c>
      <c r="F248" s="136">
        <v>1.5</v>
      </c>
      <c r="G248" s="136">
        <v>13</v>
      </c>
      <c r="H248" s="136">
        <v>12</v>
      </c>
      <c r="I248" s="136">
        <f>+G248*H248</f>
        <v>156</v>
      </c>
      <c r="J248" s="153"/>
    </row>
    <row r="249" spans="1:11" x14ac:dyDescent="0.3">
      <c r="A249" s="130"/>
      <c r="B249" s="1183" t="s">
        <v>702</v>
      </c>
      <c r="C249" s="1183"/>
      <c r="D249" s="1183"/>
      <c r="E249" s="136">
        <v>20</v>
      </c>
      <c r="F249" s="136">
        <f>+F248</f>
        <v>1.5</v>
      </c>
      <c r="G249" s="136">
        <v>13</v>
      </c>
      <c r="H249" s="136">
        <v>9</v>
      </c>
      <c r="I249" s="136">
        <f>+G249*H249</f>
        <v>117</v>
      </c>
    </row>
    <row r="250" spans="1:11" x14ac:dyDescent="0.3">
      <c r="A250" s="130"/>
      <c r="B250" s="853" t="s">
        <v>496</v>
      </c>
      <c r="C250" s="853"/>
      <c r="D250" s="853"/>
      <c r="E250" s="853"/>
      <c r="F250" s="853"/>
      <c r="G250" s="853"/>
      <c r="H250" s="853"/>
      <c r="I250" s="142">
        <f>SUM(I248:I249)</f>
        <v>273</v>
      </c>
    </row>
    <row r="251" spans="1:11" x14ac:dyDescent="0.3">
      <c r="A251" s="130"/>
      <c r="B251" s="130"/>
      <c r="C251" s="130"/>
      <c r="D251" s="130"/>
      <c r="E251" s="131"/>
      <c r="F251" s="129"/>
      <c r="G251" s="127"/>
      <c r="H251" s="127"/>
      <c r="I251" s="127"/>
    </row>
    <row r="252" spans="1:11" x14ac:dyDescent="0.3">
      <c r="A252" s="132" t="str">
        <f>+PRESUPUESTO!B61</f>
        <v>ITE5238</v>
      </c>
      <c r="B252" s="1148" t="str">
        <f>+PRESUPUESTO!C61</f>
        <v>DRENES SUBHORIZONTALES PVC 3" PERFORADA PARA FILTRO INCLUYE PERFORACIÓN</v>
      </c>
      <c r="C252" s="1148"/>
      <c r="D252" s="1148"/>
      <c r="E252" s="1148"/>
      <c r="F252" s="1148"/>
      <c r="G252" s="1148"/>
      <c r="H252" s="1148"/>
      <c r="I252" s="133" t="str">
        <f>+PRESUPUESTO!D61</f>
        <v>m</v>
      </c>
    </row>
    <row r="253" spans="1:11" x14ac:dyDescent="0.3">
      <c r="A253" s="130"/>
      <c r="B253" s="130"/>
      <c r="C253" s="130"/>
      <c r="D253" s="130"/>
      <c r="E253" s="131"/>
      <c r="F253" s="129"/>
      <c r="G253" s="127"/>
      <c r="H253" s="127"/>
      <c r="I253" s="127"/>
    </row>
    <row r="254" spans="1:11" ht="55.2" x14ac:dyDescent="0.3">
      <c r="A254" s="130"/>
      <c r="B254" s="1150" t="s">
        <v>553</v>
      </c>
      <c r="C254" s="1150"/>
      <c r="D254" s="1150"/>
      <c r="E254" s="144" t="s">
        <v>705</v>
      </c>
      <c r="F254" s="144" t="s">
        <v>703</v>
      </c>
      <c r="G254" s="144" t="s">
        <v>559</v>
      </c>
      <c r="H254" s="144" t="s">
        <v>704</v>
      </c>
      <c r="I254" s="144" t="s">
        <v>685</v>
      </c>
    </row>
    <row r="255" spans="1:11" x14ac:dyDescent="0.3">
      <c r="A255" s="130"/>
      <c r="B255" s="1183" t="s">
        <v>702</v>
      </c>
      <c r="C255" s="1183"/>
      <c r="D255" s="1183"/>
      <c r="E255" s="136">
        <v>20</v>
      </c>
      <c r="F255" s="136">
        <v>4.5</v>
      </c>
      <c r="G255" s="136">
        <v>5</v>
      </c>
      <c r="H255" s="136">
        <v>12</v>
      </c>
      <c r="I255" s="136">
        <f>+G255*H255</f>
        <v>60</v>
      </c>
    </row>
    <row r="256" spans="1:11" x14ac:dyDescent="0.3">
      <c r="A256" s="130"/>
      <c r="B256" s="1183" t="s">
        <v>702</v>
      </c>
      <c r="C256" s="1183"/>
      <c r="D256" s="1183"/>
      <c r="E256" s="136">
        <v>20</v>
      </c>
      <c r="F256" s="136">
        <f>+F255</f>
        <v>4.5</v>
      </c>
      <c r="G256" s="136">
        <v>5</v>
      </c>
      <c r="H256" s="136">
        <v>12</v>
      </c>
      <c r="I256" s="136">
        <f>+G256*H256</f>
        <v>60</v>
      </c>
    </row>
    <row r="257" spans="1:11" x14ac:dyDescent="0.3">
      <c r="A257" s="130"/>
      <c r="B257" s="853" t="s">
        <v>496</v>
      </c>
      <c r="C257" s="853"/>
      <c r="D257" s="853"/>
      <c r="E257" s="853"/>
      <c r="F257" s="853"/>
      <c r="G257" s="853"/>
      <c r="H257" s="853"/>
      <c r="I257" s="142">
        <f>SUM(I255:I256)</f>
        <v>120</v>
      </c>
    </row>
    <row r="258" spans="1:11" x14ac:dyDescent="0.3">
      <c r="A258" s="130"/>
      <c r="B258" s="130"/>
      <c r="C258" s="130"/>
      <c r="D258" s="130"/>
      <c r="E258" s="131"/>
      <c r="F258" s="129"/>
      <c r="G258" s="127"/>
      <c r="H258" s="127"/>
      <c r="I258" s="127"/>
    </row>
    <row r="259" spans="1:11" ht="33.75" customHeight="1" x14ac:dyDescent="0.3">
      <c r="A259" s="132" t="str">
        <f>+PRESUPUESTO!B62</f>
        <v>ITE5765</v>
      </c>
      <c r="B259" s="1171" t="str">
        <f>+PRESUPUESTO!C62</f>
        <v xml:space="preserve">ANCLAJE EN VARILLA CORRUGADA DE Ø 3/4" (L: 0.30m), SEGÚN DISEÑO, PARA ANCLAR TABLERO DE PROTECCION Y DESVIO DE ENTRADA AL TUNEL N°19 </v>
      </c>
      <c r="C259" s="1172"/>
      <c r="D259" s="1172"/>
      <c r="E259" s="1172"/>
      <c r="F259" s="1172"/>
      <c r="G259" s="1172"/>
      <c r="H259" s="1173"/>
      <c r="I259" s="133" t="str">
        <f>+PRESUPUESTO!D62</f>
        <v>Un</v>
      </c>
    </row>
    <row r="260" spans="1:11" x14ac:dyDescent="0.3">
      <c r="A260" s="130"/>
      <c r="B260" s="130"/>
      <c r="C260" s="130"/>
      <c r="D260" s="130"/>
      <c r="E260" s="131"/>
      <c r="F260" s="129"/>
      <c r="G260" s="127"/>
      <c r="H260" s="127"/>
      <c r="I260" s="127"/>
    </row>
    <row r="261" spans="1:11" x14ac:dyDescent="0.3">
      <c r="A261" s="130"/>
      <c r="B261" s="1150" t="s">
        <v>553</v>
      </c>
      <c r="C261" s="1150"/>
      <c r="D261" s="1150"/>
      <c r="E261" s="1150"/>
      <c r="F261" s="200" t="s">
        <v>559</v>
      </c>
      <c r="G261" s="206"/>
      <c r="H261" s="202"/>
      <c r="I261" s="202"/>
    </row>
    <row r="262" spans="1:11" x14ac:dyDescent="0.3">
      <c r="A262" s="130"/>
      <c r="B262" s="1183" t="s">
        <v>739</v>
      </c>
      <c r="C262" s="1183"/>
      <c r="D262" s="1183"/>
      <c r="E262" s="1183"/>
      <c r="F262" s="136">
        <v>3</v>
      </c>
      <c r="G262" s="206"/>
      <c r="H262" s="207"/>
      <c r="I262" s="207"/>
    </row>
    <row r="263" spans="1:11" x14ac:dyDescent="0.3">
      <c r="A263" s="130"/>
      <c r="B263" s="853" t="s">
        <v>496</v>
      </c>
      <c r="C263" s="853"/>
      <c r="D263" s="853"/>
      <c r="E263" s="853"/>
      <c r="F263" s="142">
        <f>SUM(F262)</f>
        <v>3</v>
      </c>
      <c r="G263" s="208"/>
      <c r="H263" s="208"/>
      <c r="I263" s="206"/>
    </row>
    <row r="264" spans="1:11" x14ac:dyDescent="0.3">
      <c r="A264" s="130"/>
      <c r="B264" s="201"/>
      <c r="C264" s="201"/>
      <c r="D264" s="201"/>
      <c r="E264" s="201"/>
      <c r="F264" s="207"/>
      <c r="G264" s="206"/>
      <c r="H264" s="207"/>
      <c r="I264" s="207"/>
    </row>
    <row r="265" spans="1:11" ht="32.25" customHeight="1" x14ac:dyDescent="0.3">
      <c r="A265" s="132" t="str">
        <f>+PRESUPUESTO!B63</f>
        <v>ITE5766</v>
      </c>
      <c r="B265" s="1171" t="str">
        <f>+PRESUPUESTO!C63</f>
        <v xml:space="preserve">ANCLAJE EN VARILLA CORRUGADA DE Ø 3/4" (L: 0.15m), SEGÚN DISEÑO, PARA ANCLAR TABLERO DE PROTECCION Y DESVIO DE ENTRADA AL TUNEL N°19 </v>
      </c>
      <c r="C265" s="1172"/>
      <c r="D265" s="1172"/>
      <c r="E265" s="1172"/>
      <c r="F265" s="1172"/>
      <c r="G265" s="1172"/>
      <c r="H265" s="1173"/>
      <c r="I265" s="133" t="str">
        <f>+PRESUPUESTO!D63</f>
        <v>Un</v>
      </c>
    </row>
    <row r="266" spans="1:11" x14ac:dyDescent="0.3">
      <c r="A266" s="130"/>
      <c r="B266" s="130"/>
      <c r="C266" s="130"/>
      <c r="D266" s="130"/>
      <c r="E266" s="131"/>
      <c r="F266" s="129"/>
      <c r="G266" s="127"/>
      <c r="H266" s="127"/>
      <c r="I266" s="127"/>
    </row>
    <row r="267" spans="1:11" x14ac:dyDescent="0.3">
      <c r="A267" s="130"/>
      <c r="B267" s="1150" t="s">
        <v>553</v>
      </c>
      <c r="C267" s="1150"/>
      <c r="D267" s="1150"/>
      <c r="E267" s="1150"/>
      <c r="F267" s="1150"/>
      <c r="G267" s="200" t="s">
        <v>559</v>
      </c>
      <c r="H267" s="202"/>
      <c r="I267" s="202"/>
    </row>
    <row r="268" spans="1:11" x14ac:dyDescent="0.3">
      <c r="A268" s="130"/>
      <c r="B268" s="1183" t="s">
        <v>740</v>
      </c>
      <c r="C268" s="1183"/>
      <c r="D268" s="1183"/>
      <c r="E268" s="1183"/>
      <c r="F268" s="1183"/>
      <c r="G268" s="136">
        <v>2</v>
      </c>
      <c r="H268" s="207"/>
      <c r="I268" s="207"/>
    </row>
    <row r="269" spans="1:11" x14ac:dyDescent="0.3">
      <c r="A269" s="130"/>
      <c r="B269" s="1183" t="s">
        <v>741</v>
      </c>
      <c r="C269" s="1183"/>
      <c r="D269" s="1183"/>
      <c r="E269" s="1183"/>
      <c r="F269" s="1183"/>
      <c r="G269" s="136">
        <v>2</v>
      </c>
      <c r="H269" s="207"/>
      <c r="I269" s="207"/>
    </row>
    <row r="270" spans="1:11" x14ac:dyDescent="0.3">
      <c r="A270" s="130"/>
      <c r="B270" s="853" t="s">
        <v>496</v>
      </c>
      <c r="C270" s="853"/>
      <c r="D270" s="853"/>
      <c r="E270" s="853"/>
      <c r="F270" s="853"/>
      <c r="G270" s="142">
        <f>SUM(G268:G269)</f>
        <v>4</v>
      </c>
      <c r="H270" s="208"/>
      <c r="I270" s="206"/>
    </row>
    <row r="271" spans="1:11" x14ac:dyDescent="0.3">
      <c r="A271" s="130"/>
      <c r="B271" s="130"/>
      <c r="C271" s="130"/>
      <c r="D271" s="130"/>
      <c r="E271" s="131"/>
      <c r="F271" s="129"/>
      <c r="G271" s="127"/>
      <c r="H271" s="127"/>
      <c r="I271" s="127"/>
    </row>
    <row r="272" spans="1:11" ht="34.5" customHeight="1" x14ac:dyDescent="0.3">
      <c r="A272" s="132" t="str">
        <f>+PRESUPUESTO!B64</f>
        <v>ITE5764</v>
      </c>
      <c r="B272" s="1148" t="str">
        <f>+PRESUPUESTO!C64</f>
        <v xml:space="preserve">ANCLAJE EN VARILLA CORRUGADA DE Ø ½", SEGÚN DISEÑO, PARA REFORZAMIENTO DE LA AMPLIACION DEL BOX COULVERT DE ENTRADA AL TUNEL N°19 </v>
      </c>
      <c r="C272" s="1148"/>
      <c r="D272" s="1148"/>
      <c r="E272" s="1148"/>
      <c r="F272" s="1148"/>
      <c r="G272" s="1148"/>
      <c r="H272" s="1148"/>
      <c r="I272" s="1148"/>
      <c r="J272" s="1148"/>
      <c r="K272" s="133" t="str">
        <f>+PRESUPUESTO!D64</f>
        <v>Un</v>
      </c>
    </row>
    <row r="273" spans="1:11" x14ac:dyDescent="0.3">
      <c r="A273" s="130"/>
      <c r="B273" s="130"/>
      <c r="C273" s="130"/>
      <c r="D273" s="130"/>
      <c r="E273" s="131"/>
      <c r="F273" s="129"/>
      <c r="G273" s="127"/>
      <c r="H273" s="127"/>
      <c r="I273" s="127"/>
    </row>
    <row r="274" spans="1:11" ht="82.5" customHeight="1" x14ac:dyDescent="0.3">
      <c r="A274" s="130"/>
      <c r="B274" s="1150" t="s">
        <v>553</v>
      </c>
      <c r="C274" s="1150"/>
      <c r="D274" s="1150"/>
      <c r="E274" s="1150"/>
      <c r="F274" s="1150"/>
      <c r="G274" s="1150" t="s">
        <v>742</v>
      </c>
      <c r="H274" s="1150"/>
      <c r="I274" s="200" t="s">
        <v>685</v>
      </c>
      <c r="J274" s="200" t="s">
        <v>743</v>
      </c>
      <c r="K274" s="200" t="s">
        <v>744</v>
      </c>
    </row>
    <row r="275" spans="1:11" x14ac:dyDescent="0.3">
      <c r="A275" s="130"/>
      <c r="B275" s="1183" t="s">
        <v>706</v>
      </c>
      <c r="C275" s="1183"/>
      <c r="D275" s="1183"/>
      <c r="E275" s="1183"/>
      <c r="F275" s="1183"/>
      <c r="G275" s="1185">
        <v>0.2</v>
      </c>
      <c r="H275" s="1185"/>
      <c r="I275" s="136">
        <v>7</v>
      </c>
      <c r="J275" s="136">
        <v>2</v>
      </c>
      <c r="K275" s="136">
        <f>+(I275/G275)*J275</f>
        <v>70</v>
      </c>
    </row>
    <row r="276" spans="1:11" x14ac:dyDescent="0.3">
      <c r="A276" s="130"/>
      <c r="B276" s="1183" t="s">
        <v>707</v>
      </c>
      <c r="C276" s="1183"/>
      <c r="D276" s="1183"/>
      <c r="E276" s="1183"/>
      <c r="F276" s="1183"/>
      <c r="G276" s="1185">
        <v>0.2</v>
      </c>
      <c r="H276" s="1185"/>
      <c r="I276" s="136">
        <v>7</v>
      </c>
      <c r="J276" s="136">
        <v>2</v>
      </c>
      <c r="K276" s="136">
        <f>+(I276/G276)*J276</f>
        <v>70</v>
      </c>
    </row>
    <row r="277" spans="1:11" x14ac:dyDescent="0.3">
      <c r="A277" s="130"/>
      <c r="B277" s="853" t="s">
        <v>496</v>
      </c>
      <c r="C277" s="853"/>
      <c r="D277" s="853"/>
      <c r="E277" s="853"/>
      <c r="F277" s="853"/>
      <c r="G277" s="853"/>
      <c r="H277" s="853"/>
      <c r="I277" s="853"/>
      <c r="J277" s="853"/>
      <c r="K277" s="142">
        <f>SUM(K275:K276)</f>
        <v>140</v>
      </c>
    </row>
    <row r="278" spans="1:11" x14ac:dyDescent="0.3">
      <c r="A278" s="130"/>
      <c r="B278" s="130"/>
      <c r="C278" s="130"/>
      <c r="D278" s="130"/>
      <c r="E278" s="131"/>
      <c r="F278" s="129"/>
      <c r="G278" s="127"/>
      <c r="H278" s="127"/>
      <c r="I278" s="127"/>
    </row>
    <row r="279" spans="1:11" ht="33" customHeight="1" x14ac:dyDescent="0.3">
      <c r="A279" s="132" t="str">
        <f>+PRESUPUESTO!B65</f>
        <v>ITE5173</v>
      </c>
      <c r="B279" s="1148" t="str">
        <f>+PRESUPUESTO!C65</f>
        <v>SUMINISTRO Y APLICACIÓN DE ADHESIVO EPOXICO ENTRE CONCRETO VIEJO A CONCRETO NUEVO CON SIKADUR 32 O SIMILAR.</v>
      </c>
      <c r="C279" s="1148"/>
      <c r="D279" s="1148"/>
      <c r="E279" s="1148"/>
      <c r="F279" s="1148"/>
      <c r="G279" s="1148"/>
      <c r="H279" s="133" t="str">
        <f>+PRESUPUESTO!D65</f>
        <v>m2</v>
      </c>
      <c r="I279" s="127"/>
    </row>
    <row r="280" spans="1:11" x14ac:dyDescent="0.3">
      <c r="A280" s="130"/>
      <c r="B280" s="1164" t="s">
        <v>553</v>
      </c>
      <c r="C280" s="1164"/>
      <c r="D280" s="1164"/>
      <c r="E280" s="1165"/>
      <c r="F280" s="165" t="s">
        <v>564</v>
      </c>
      <c r="G280" s="165" t="s">
        <v>560</v>
      </c>
      <c r="H280" s="165" t="s">
        <v>554</v>
      </c>
      <c r="I280" s="127"/>
    </row>
    <row r="281" spans="1:11" ht="33" customHeight="1" x14ac:dyDescent="0.3">
      <c r="A281" s="130"/>
      <c r="B281" s="1159" t="s">
        <v>706</v>
      </c>
      <c r="C281" s="1160"/>
      <c r="D281" s="1160"/>
      <c r="E281" s="1160"/>
      <c r="F281" s="149">
        <v>7</v>
      </c>
      <c r="G281" s="141">
        <v>0.25</v>
      </c>
      <c r="H281" s="136">
        <f>+F281*G281</f>
        <v>1.75</v>
      </c>
      <c r="I281" s="127"/>
    </row>
    <row r="282" spans="1:11" ht="36" customHeight="1" x14ac:dyDescent="0.3">
      <c r="A282" s="130"/>
      <c r="B282" s="1159" t="s">
        <v>707</v>
      </c>
      <c r="C282" s="1160"/>
      <c r="D282" s="1160"/>
      <c r="E282" s="1160"/>
      <c r="F282" s="149">
        <v>7</v>
      </c>
      <c r="G282" s="141">
        <v>0.25</v>
      </c>
      <c r="H282" s="136">
        <f>+F282*G282</f>
        <v>1.75</v>
      </c>
      <c r="I282" s="127"/>
    </row>
    <row r="283" spans="1:11" x14ac:dyDescent="0.3">
      <c r="A283" s="130"/>
      <c r="B283" s="1146" t="s">
        <v>496</v>
      </c>
      <c r="C283" s="1146"/>
      <c r="D283" s="1146"/>
      <c r="E283" s="1146"/>
      <c r="F283" s="1146"/>
      <c r="G283" s="1146"/>
      <c r="H283" s="139">
        <f>SUM(H281:H282)</f>
        <v>3.5</v>
      </c>
      <c r="I283" s="127"/>
    </row>
    <row r="284" spans="1:11" x14ac:dyDescent="0.3">
      <c r="A284" s="130"/>
      <c r="B284" s="130"/>
      <c r="C284" s="130"/>
      <c r="D284" s="130"/>
      <c r="E284" s="131"/>
      <c r="F284" s="129"/>
      <c r="G284" s="127"/>
      <c r="H284" s="127"/>
      <c r="I284" s="127"/>
    </row>
    <row r="285" spans="1:11" x14ac:dyDescent="0.3">
      <c r="A285" s="130"/>
      <c r="B285" s="130"/>
      <c r="C285" s="130"/>
      <c r="D285" s="130"/>
      <c r="E285" s="131"/>
      <c r="F285" s="129"/>
      <c r="G285" s="127"/>
      <c r="H285" s="127"/>
      <c r="I285" s="127"/>
    </row>
    <row r="286" spans="1:11" x14ac:dyDescent="0.3">
      <c r="A286" s="130"/>
      <c r="B286" s="130"/>
      <c r="C286" s="130"/>
      <c r="D286" s="130"/>
      <c r="E286" s="131"/>
      <c r="F286" s="129"/>
      <c r="G286" s="127"/>
      <c r="H286" s="127"/>
      <c r="I286" s="127"/>
    </row>
    <row r="287" spans="1:11" ht="16.5" customHeight="1" x14ac:dyDescent="0.3">
      <c r="A287" s="132" t="str">
        <f>+PRESUPUESTO!B66</f>
        <v>ITE6558</v>
      </c>
      <c r="B287" s="1148" t="str">
        <f>+PRESUPUESTO!C66</f>
        <v>MURO EN GAVIONES CON SACOS DE SUELO EN MALLA TRIPLE TORSIÓN C 13</v>
      </c>
      <c r="C287" s="1148"/>
      <c r="D287" s="1148"/>
      <c r="E287" s="1148"/>
      <c r="F287" s="1148"/>
      <c r="G287" s="1148"/>
      <c r="H287" s="1148"/>
      <c r="I287" s="1148"/>
      <c r="J287" s="133" t="str">
        <f>+PRESUPUESTO!D66</f>
        <v>m3</v>
      </c>
    </row>
    <row r="288" spans="1:11" x14ac:dyDescent="0.3">
      <c r="A288" s="130"/>
      <c r="B288" s="1143" t="s">
        <v>553</v>
      </c>
      <c r="C288" s="1143"/>
      <c r="D288" s="1143"/>
      <c r="E288" s="1143"/>
      <c r="F288" s="162" t="s">
        <v>564</v>
      </c>
      <c r="G288" s="162" t="s">
        <v>560</v>
      </c>
      <c r="H288" s="162" t="s">
        <v>599</v>
      </c>
      <c r="I288" s="162" t="s">
        <v>709</v>
      </c>
      <c r="J288" s="160" t="s">
        <v>601</v>
      </c>
    </row>
    <row r="289" spans="1:10" x14ac:dyDescent="0.3">
      <c r="A289" s="130"/>
      <c r="B289" s="1184" t="s">
        <v>708</v>
      </c>
      <c r="C289" s="1184"/>
      <c r="D289" s="1184"/>
      <c r="E289" s="1184"/>
      <c r="F289" s="136">
        <v>6.5</v>
      </c>
      <c r="G289" s="136">
        <v>1</v>
      </c>
      <c r="H289" s="136">
        <v>1</v>
      </c>
      <c r="I289" s="136">
        <f>+G289*H289</f>
        <v>1</v>
      </c>
      <c r="J289" s="161">
        <f>+F289*G289*H289</f>
        <v>6.5</v>
      </c>
    </row>
    <row r="290" spans="1:10" x14ac:dyDescent="0.3">
      <c r="A290" s="130"/>
      <c r="B290" s="853" t="s">
        <v>496</v>
      </c>
      <c r="C290" s="853"/>
      <c r="D290" s="853"/>
      <c r="E290" s="853"/>
      <c r="F290" s="853"/>
      <c r="G290" s="853"/>
      <c r="H290" s="853"/>
      <c r="I290" s="853"/>
      <c r="J290" s="148">
        <f>SUM(J289)</f>
        <v>6.5</v>
      </c>
    </row>
    <row r="291" spans="1:10" x14ac:dyDescent="0.3">
      <c r="A291" s="130"/>
      <c r="B291" s="130"/>
      <c r="C291" s="130"/>
      <c r="D291" s="130"/>
      <c r="E291" s="131"/>
      <c r="F291" s="129"/>
      <c r="G291" s="127"/>
      <c r="H291" s="127"/>
      <c r="I291" s="127"/>
    </row>
    <row r="292" spans="1:10" ht="16.5" customHeight="1" x14ac:dyDescent="0.3">
      <c r="A292" s="130"/>
      <c r="B292" s="130"/>
      <c r="C292" s="130"/>
      <c r="D292" s="130"/>
      <c r="E292" s="131"/>
      <c r="F292" s="129"/>
      <c r="G292" s="127"/>
      <c r="H292" s="1204" t="s">
        <v>710</v>
      </c>
      <c r="I292" s="1205"/>
      <c r="J292" s="148">
        <v>8</v>
      </c>
    </row>
    <row r="293" spans="1:10" x14ac:dyDescent="0.3">
      <c r="A293" s="130"/>
      <c r="B293" s="1137" t="s">
        <v>711</v>
      </c>
      <c r="C293" s="1138"/>
      <c r="D293" s="1138"/>
      <c r="E293" s="1138"/>
      <c r="F293" s="1138"/>
      <c r="G293" s="1138"/>
      <c r="H293" s="1138"/>
      <c r="I293" s="1139"/>
      <c r="J293" s="142">
        <f>+J290*J292</f>
        <v>52</v>
      </c>
    </row>
    <row r="294" spans="1:10" x14ac:dyDescent="0.3">
      <c r="A294" s="130"/>
      <c r="B294" s="130"/>
      <c r="C294" s="130"/>
      <c r="D294" s="130"/>
      <c r="E294" s="131"/>
      <c r="F294" s="129"/>
      <c r="G294" s="127"/>
      <c r="H294" s="127"/>
      <c r="I294" s="127"/>
    </row>
    <row r="295" spans="1:10" x14ac:dyDescent="0.3">
      <c r="A295" s="130"/>
      <c r="B295" s="130"/>
      <c r="C295" s="130"/>
      <c r="D295" s="130"/>
      <c r="E295" s="131"/>
      <c r="F295" s="129"/>
      <c r="G295" s="127"/>
      <c r="H295" s="127"/>
      <c r="I295" s="127"/>
    </row>
    <row r="296" spans="1:10" x14ac:dyDescent="0.3">
      <c r="A296" s="132" t="str">
        <f>+PRESUPUESTO!B67</f>
        <v>EPA0310</v>
      </c>
      <c r="B296" s="1171" t="str">
        <f>+PRESUPUESTO!C67</f>
        <v>TRINCHOS EN GUADUA H=1m, INCLUYE EXCAVACIÓN</v>
      </c>
      <c r="C296" s="1172"/>
      <c r="D296" s="1172"/>
      <c r="E296" s="1173"/>
      <c r="F296" s="133" t="str">
        <f>+PRESUPUESTO!D67</f>
        <v>m</v>
      </c>
      <c r="G296" s="127"/>
      <c r="H296" s="127"/>
      <c r="I296" s="127"/>
    </row>
    <row r="297" spans="1:10" x14ac:dyDescent="0.3">
      <c r="A297" s="130"/>
      <c r="B297" s="1164" t="s">
        <v>553</v>
      </c>
      <c r="C297" s="1164"/>
      <c r="D297" s="1164"/>
      <c r="E297" s="1165"/>
      <c r="F297" s="162" t="s">
        <v>564</v>
      </c>
      <c r="G297" s="127"/>
      <c r="H297" s="127"/>
      <c r="I297" s="127"/>
    </row>
    <row r="298" spans="1:10" x14ac:dyDescent="0.3">
      <c r="A298" s="130"/>
      <c r="B298" s="1159" t="s">
        <v>712</v>
      </c>
      <c r="C298" s="1160"/>
      <c r="D298" s="1160"/>
      <c r="E298" s="1160"/>
      <c r="F298" s="136">
        <v>18.96</v>
      </c>
      <c r="G298" s="127"/>
      <c r="H298" s="127"/>
      <c r="I298" s="127"/>
    </row>
    <row r="299" spans="1:10" x14ac:dyDescent="0.3">
      <c r="A299" s="130"/>
      <c r="B299" s="1159" t="s">
        <v>713</v>
      </c>
      <c r="C299" s="1160"/>
      <c r="D299" s="1160"/>
      <c r="E299" s="1160"/>
      <c r="F299" s="136">
        <v>14.22</v>
      </c>
      <c r="G299" s="127"/>
      <c r="H299" s="127"/>
      <c r="I299" s="127"/>
    </row>
    <row r="300" spans="1:10" x14ac:dyDescent="0.3">
      <c r="A300" s="130"/>
      <c r="B300" s="1159" t="s">
        <v>714</v>
      </c>
      <c r="C300" s="1160"/>
      <c r="D300" s="1160"/>
      <c r="E300" s="1160"/>
      <c r="F300" s="136">
        <v>9.48</v>
      </c>
      <c r="G300" s="127"/>
      <c r="H300" s="127"/>
      <c r="I300" s="127"/>
    </row>
    <row r="301" spans="1:10" x14ac:dyDescent="0.3">
      <c r="A301" s="130"/>
      <c r="B301" s="1159" t="s">
        <v>715</v>
      </c>
      <c r="C301" s="1160"/>
      <c r="D301" s="1160"/>
      <c r="E301" s="1160"/>
      <c r="F301" s="136">
        <v>13.840000000000011</v>
      </c>
      <c r="G301" s="127"/>
      <c r="H301" s="127"/>
      <c r="I301" s="127"/>
    </row>
    <row r="302" spans="1:10" x14ac:dyDescent="0.3">
      <c r="A302" s="130"/>
      <c r="B302" s="1146" t="s">
        <v>496</v>
      </c>
      <c r="C302" s="1146"/>
      <c r="D302" s="1146"/>
      <c r="E302" s="1146"/>
      <c r="F302" s="139">
        <f>SUM(F298:F301)</f>
        <v>56.500000000000007</v>
      </c>
      <c r="G302" s="127"/>
      <c r="H302" s="127"/>
      <c r="I302" s="127"/>
    </row>
    <row r="303" spans="1:10" x14ac:dyDescent="0.3">
      <c r="A303" s="130"/>
      <c r="B303" s="130"/>
      <c r="C303" s="130"/>
      <c r="D303" s="130"/>
      <c r="E303" s="131"/>
      <c r="F303" s="129"/>
      <c r="G303" s="127"/>
      <c r="H303" s="127"/>
      <c r="I303" s="127"/>
    </row>
    <row r="304" spans="1:10" x14ac:dyDescent="0.3">
      <c r="A304" s="132" t="str">
        <f>+PRESUPUESTO!B68</f>
        <v>ITE5155</v>
      </c>
      <c r="B304" s="1148" t="str">
        <f>+PRESUPUESTO!C68</f>
        <v>SUMINISTRO E INSTALACIÓN DE BOX EN FIBRA DE VIDRIO PARA EL EMPALME ENTRE CONDUCCIÓN EXISTENTE Y CONDUCCIÓN PROVISIONAL SECCIÓN 1.0 x 1.5 m, SEGÚN DISEÑO</v>
      </c>
      <c r="C304" s="1148"/>
      <c r="D304" s="1148"/>
      <c r="E304" s="1148"/>
      <c r="F304" s="133" t="str">
        <f>+PRESUPUESTO!D68</f>
        <v xml:space="preserve">Un </v>
      </c>
      <c r="G304" s="127"/>
      <c r="H304" s="127"/>
      <c r="I304" s="127"/>
    </row>
    <row r="305" spans="1:12" x14ac:dyDescent="0.3">
      <c r="A305" s="127"/>
      <c r="B305" s="1143" t="s">
        <v>553</v>
      </c>
      <c r="C305" s="1143"/>
      <c r="D305" s="1143"/>
      <c r="E305" s="1143"/>
      <c r="F305" s="162" t="s">
        <v>113</v>
      </c>
      <c r="G305" s="127"/>
      <c r="H305" s="127"/>
      <c r="I305" s="127"/>
    </row>
    <row r="306" spans="1:12" x14ac:dyDescent="0.3">
      <c r="A306" s="127"/>
      <c r="B306" s="1168" t="s">
        <v>716</v>
      </c>
      <c r="C306" s="1169"/>
      <c r="D306" s="1169"/>
      <c r="E306" s="1170"/>
      <c r="F306" s="151">
        <v>1</v>
      </c>
      <c r="G306" s="127"/>
      <c r="H306" s="127"/>
      <c r="I306" s="127"/>
    </row>
    <row r="307" spans="1:12" x14ac:dyDescent="0.3">
      <c r="A307" s="127"/>
      <c r="B307" s="1168" t="s">
        <v>717</v>
      </c>
      <c r="C307" s="1169"/>
      <c r="D307" s="1169"/>
      <c r="E307" s="1170"/>
      <c r="F307" s="151">
        <v>1</v>
      </c>
      <c r="G307" s="127"/>
      <c r="H307" s="127"/>
      <c r="I307" s="127"/>
    </row>
    <row r="308" spans="1:12" x14ac:dyDescent="0.3">
      <c r="A308" s="127"/>
      <c r="B308" s="1137" t="s">
        <v>496</v>
      </c>
      <c r="C308" s="1138"/>
      <c r="D308" s="1138"/>
      <c r="E308" s="1139"/>
      <c r="F308" s="145">
        <f>SUM(F306:F307)</f>
        <v>2</v>
      </c>
      <c r="G308" s="127"/>
      <c r="H308" s="127"/>
      <c r="I308" s="127"/>
    </row>
    <row r="309" spans="1:12" x14ac:dyDescent="0.3">
      <c r="A309" s="130"/>
      <c r="B309" s="130"/>
      <c r="C309" s="130"/>
      <c r="D309" s="130"/>
      <c r="E309" s="131"/>
      <c r="F309" s="129"/>
      <c r="G309" s="127"/>
      <c r="H309" s="127"/>
      <c r="I309" s="127"/>
    </row>
    <row r="310" spans="1:12" ht="16.5" customHeight="1" x14ac:dyDescent="0.3">
      <c r="A310" s="132" t="str">
        <f>+PRESUPUESTO!B69</f>
        <v>ITE7729</v>
      </c>
      <c r="B310" s="1171" t="str">
        <f>+PRESUPUESTO!C69</f>
        <v>EMPALMES DE BOX EN FIBRA DE VIDRIO A TÚNEL 19, CON SIKATOP 122 O SIMILAR, e = 5cm</v>
      </c>
      <c r="C310" s="1172"/>
      <c r="D310" s="1172"/>
      <c r="E310" s="1172"/>
      <c r="F310" s="1172"/>
      <c r="G310" s="1172"/>
      <c r="H310" s="1173"/>
      <c r="I310" s="133" t="str">
        <f>+PRESUPUESTO!D69</f>
        <v>Kg</v>
      </c>
    </row>
    <row r="311" spans="1:12" x14ac:dyDescent="0.3">
      <c r="A311" s="130"/>
      <c r="B311" s="130"/>
      <c r="C311" s="130"/>
      <c r="D311" s="130"/>
      <c r="E311" s="131"/>
      <c r="F311" s="129"/>
      <c r="G311" s="127"/>
      <c r="H311" s="127"/>
      <c r="I311" s="127"/>
    </row>
    <row r="312" spans="1:12" ht="54" customHeight="1" x14ac:dyDescent="0.3">
      <c r="A312" s="130"/>
      <c r="B312" s="1174" t="s">
        <v>553</v>
      </c>
      <c r="C312" s="1175"/>
      <c r="D312" s="1175"/>
      <c r="E312" s="1176"/>
      <c r="F312" s="1174" t="s">
        <v>719</v>
      </c>
      <c r="G312" s="1176"/>
      <c r="H312" s="200" t="s">
        <v>718</v>
      </c>
      <c r="I312" s="200" t="s">
        <v>720</v>
      </c>
      <c r="J312" s="200" t="s">
        <v>723</v>
      </c>
      <c r="K312" s="200" t="s">
        <v>721</v>
      </c>
      <c r="L312" s="200" t="s">
        <v>722</v>
      </c>
    </row>
    <row r="313" spans="1:12" x14ac:dyDescent="0.3">
      <c r="A313" s="130"/>
      <c r="B313" s="1168" t="s">
        <v>716</v>
      </c>
      <c r="C313" s="1169"/>
      <c r="D313" s="1169"/>
      <c r="E313" s="1170"/>
      <c r="F313" s="209">
        <v>1.5340909090909094E-2</v>
      </c>
      <c r="G313" s="210"/>
      <c r="H313" s="149">
        <f>1.5+1.4+1.5</f>
        <v>4.4000000000000004</v>
      </c>
      <c r="I313" s="136">
        <f>+H313*F313</f>
        <v>6.7500000000000018E-2</v>
      </c>
      <c r="J313" s="136">
        <f>+I313*1000</f>
        <v>67.500000000000014</v>
      </c>
      <c r="K313" s="136">
        <v>2.2000000000000002</v>
      </c>
      <c r="L313" s="136">
        <f>+J313*K313</f>
        <v>148.50000000000006</v>
      </c>
    </row>
    <row r="314" spans="1:12" x14ac:dyDescent="0.3">
      <c r="A314" s="130"/>
      <c r="B314" s="1168" t="s">
        <v>717</v>
      </c>
      <c r="C314" s="1169"/>
      <c r="D314" s="1169"/>
      <c r="E314" s="1170"/>
      <c r="F314" s="209">
        <v>1.5340909090909094E-2</v>
      </c>
      <c r="G314" s="210"/>
      <c r="H314" s="149">
        <f>1.5+1.4+1.5</f>
        <v>4.4000000000000004</v>
      </c>
      <c r="I314" s="136">
        <f>+H314*F314</f>
        <v>6.7500000000000018E-2</v>
      </c>
      <c r="J314" s="136">
        <f>+I314*1000</f>
        <v>67.500000000000014</v>
      </c>
      <c r="K314" s="136">
        <v>2.2000000000000002</v>
      </c>
      <c r="L314" s="136">
        <f>+J314*K314</f>
        <v>148.50000000000006</v>
      </c>
    </row>
    <row r="315" spans="1:12" x14ac:dyDescent="0.3">
      <c r="A315" s="130"/>
      <c r="B315" s="1177" t="s">
        <v>496</v>
      </c>
      <c r="C315" s="1178"/>
      <c r="D315" s="1178"/>
      <c r="E315" s="1178"/>
      <c r="F315" s="1178"/>
      <c r="G315" s="1178"/>
      <c r="H315" s="1178"/>
      <c r="I315" s="1178"/>
      <c r="J315" s="1178"/>
      <c r="K315" s="1179"/>
      <c r="L315" s="142">
        <f>SUM(L313:L314)</f>
        <v>297.00000000000011</v>
      </c>
    </row>
    <row r="316" spans="1:12" x14ac:dyDescent="0.3">
      <c r="A316" s="130"/>
      <c r="B316" s="130"/>
      <c r="C316" s="130"/>
      <c r="D316" s="130"/>
      <c r="E316" s="131"/>
      <c r="F316" s="129"/>
      <c r="G316" s="127"/>
      <c r="H316" s="127"/>
      <c r="I316" s="127"/>
    </row>
    <row r="317" spans="1:12" ht="16.5" customHeight="1" x14ac:dyDescent="0.3">
      <c r="A317" s="132" t="str">
        <f>+PRESUPUESTO!B70</f>
        <v>ITE7742</v>
      </c>
      <c r="B317" s="1148" t="str">
        <f>+PRESUPUESTO!C70</f>
        <v>SUMINISTRO E INSTALACIÓN DE COMPUERTA EN PLÁSTICO POLIPROPILENO 100% TIPO GUILLOTINA, INCLUYE RIELES LATERALES EN PLÁSTICO POLIPROPILENO 100%, CIERRE TIPO CONO, CON ÁREA EFECTIVA 1m X 1m, SEGÚN DISEÑO, INCLUYE VÁSTAGO Y TORRE DE MANIOBRA</v>
      </c>
      <c r="C317" s="1148"/>
      <c r="D317" s="1148"/>
      <c r="E317" s="1148"/>
      <c r="F317" s="1148"/>
      <c r="G317" s="1148"/>
      <c r="H317" s="1148"/>
      <c r="I317" s="133" t="str">
        <f>+PRESUPUESTO!D70</f>
        <v>Un</v>
      </c>
    </row>
    <row r="318" spans="1:12" x14ac:dyDescent="0.3">
      <c r="A318" s="127"/>
      <c r="B318" s="1143" t="s">
        <v>553</v>
      </c>
      <c r="C318" s="1143"/>
      <c r="D318" s="1143"/>
      <c r="E318" s="1143"/>
      <c r="F318" s="1143"/>
      <c r="G318" s="1143"/>
      <c r="H318" s="1143"/>
      <c r="I318" s="166" t="s">
        <v>113</v>
      </c>
    </row>
    <row r="319" spans="1:12" x14ac:dyDescent="0.3">
      <c r="A319" s="127"/>
      <c r="B319" s="1180" t="s">
        <v>716</v>
      </c>
      <c r="C319" s="1180"/>
      <c r="D319" s="1180"/>
      <c r="E319" s="1180"/>
      <c r="F319" s="1180"/>
      <c r="G319" s="1180"/>
      <c r="H319" s="1180"/>
      <c r="I319" s="151">
        <v>1</v>
      </c>
    </row>
    <row r="320" spans="1:12" x14ac:dyDescent="0.3">
      <c r="A320" s="127"/>
      <c r="B320" s="1180" t="s">
        <v>717</v>
      </c>
      <c r="C320" s="1180"/>
      <c r="D320" s="1180"/>
      <c r="E320" s="1180"/>
      <c r="F320" s="1180"/>
      <c r="G320" s="1180"/>
      <c r="H320" s="1180"/>
      <c r="I320" s="151">
        <v>1</v>
      </c>
    </row>
    <row r="321" spans="1:9" x14ac:dyDescent="0.3">
      <c r="A321" s="127"/>
      <c r="B321" s="1137" t="s">
        <v>496</v>
      </c>
      <c r="C321" s="1138"/>
      <c r="D321" s="1138"/>
      <c r="E321" s="1138"/>
      <c r="F321" s="1138"/>
      <c r="G321" s="1138"/>
      <c r="H321" s="1139"/>
      <c r="I321" s="145">
        <f>SUM(I319:I320)</f>
        <v>2</v>
      </c>
    </row>
    <row r="322" spans="1:9" x14ac:dyDescent="0.3">
      <c r="A322" s="130"/>
      <c r="B322" s="130"/>
      <c r="C322" s="130"/>
      <c r="D322" s="130"/>
      <c r="E322" s="131"/>
      <c r="F322" s="129"/>
      <c r="G322" s="127"/>
      <c r="H322" s="127"/>
      <c r="I322" s="127"/>
    </row>
    <row r="323" spans="1:9" ht="50.25" customHeight="1" x14ac:dyDescent="0.3">
      <c r="A323" s="132" t="str">
        <f>+PRESUPUESTO!B71</f>
        <v>ITE7743</v>
      </c>
      <c r="B323" s="1148" t="str">
        <f>+PRESUPUESTO!C71</f>
        <v>SUMINISTRO E INSTALACIÓN DE PANTALLA EN LÁMINA DE ACERO 2.10m X 1.15m, ESPESOR:3/16", REFORZADA CON ÁNGULOS EN ACERO DE 2" X 2" X ¼", INCLUYE ANCLAJES GUÍAS, SEGÚN DISEÑO</v>
      </c>
      <c r="C323" s="1148"/>
      <c r="D323" s="1148"/>
      <c r="E323" s="1148"/>
      <c r="F323" s="1148"/>
      <c r="G323" s="1148"/>
      <c r="H323" s="1148"/>
      <c r="I323" s="133" t="str">
        <f>+PRESUPUESTO!D71</f>
        <v>Un</v>
      </c>
    </row>
    <row r="324" spans="1:9" x14ac:dyDescent="0.3">
      <c r="A324" s="127"/>
      <c r="B324" s="1143" t="s">
        <v>553</v>
      </c>
      <c r="C324" s="1143"/>
      <c r="D324" s="1143"/>
      <c r="E324" s="1143"/>
      <c r="F324" s="1143"/>
      <c r="G324" s="1143"/>
      <c r="H324" s="1143"/>
      <c r="I324" s="166" t="s">
        <v>113</v>
      </c>
    </row>
    <row r="325" spans="1:9" x14ac:dyDescent="0.3">
      <c r="A325" s="127"/>
      <c r="B325" s="1180" t="s">
        <v>745</v>
      </c>
      <c r="C325" s="1180"/>
      <c r="D325" s="1180"/>
      <c r="E325" s="1180"/>
      <c r="F325" s="1180"/>
      <c r="G325" s="1180"/>
      <c r="H325" s="1180"/>
      <c r="I325" s="151">
        <v>1</v>
      </c>
    </row>
    <row r="326" spans="1:9" x14ac:dyDescent="0.3">
      <c r="A326" s="127"/>
      <c r="B326" s="1180" t="s">
        <v>746</v>
      </c>
      <c r="C326" s="1180"/>
      <c r="D326" s="1180"/>
      <c r="E326" s="1180"/>
      <c r="F326" s="1180"/>
      <c r="G326" s="1180"/>
      <c r="H326" s="1180"/>
      <c r="I326" s="151">
        <v>1</v>
      </c>
    </row>
    <row r="327" spans="1:9" x14ac:dyDescent="0.3">
      <c r="A327" s="127"/>
      <c r="B327" s="1137" t="s">
        <v>496</v>
      </c>
      <c r="C327" s="1138"/>
      <c r="D327" s="1138"/>
      <c r="E327" s="1138"/>
      <c r="F327" s="1138"/>
      <c r="G327" s="1138"/>
      <c r="H327" s="1139"/>
      <c r="I327" s="145">
        <f>SUM(I325:I326)</f>
        <v>2</v>
      </c>
    </row>
    <row r="328" spans="1:9" x14ac:dyDescent="0.3">
      <c r="A328" s="130"/>
      <c r="B328" s="130"/>
      <c r="C328" s="130"/>
      <c r="D328" s="130"/>
      <c r="E328" s="131"/>
      <c r="F328" s="129"/>
      <c r="G328" s="127"/>
      <c r="H328" s="127"/>
      <c r="I328" s="127"/>
    </row>
    <row r="329" spans="1:9" ht="34.5" customHeight="1" x14ac:dyDescent="0.3">
      <c r="A329" s="132" t="str">
        <f>+PRESUPUESTO!B72</f>
        <v>EPA0209</v>
      </c>
      <c r="B329" s="1148" t="str">
        <f>+PRESUPUESTO!C72</f>
        <v>CABEZALES DE DESCARGA PARA TUBERÍAS CON DIÁMETROS Ø:6" A Ø:8", INCLUYE REFUERZO, INCLUYE TRASIEGO DE MATERIAL CON USO DE TARABITA</v>
      </c>
      <c r="C329" s="1148"/>
      <c r="D329" s="1148"/>
      <c r="E329" s="1148"/>
      <c r="F329" s="1148"/>
      <c r="G329" s="1148"/>
      <c r="H329" s="1148"/>
      <c r="I329" s="133" t="str">
        <f>+PRESUPUESTO!D72</f>
        <v>Un</v>
      </c>
    </row>
    <row r="330" spans="1:9" x14ac:dyDescent="0.3">
      <c r="A330" s="127"/>
      <c r="B330" s="1143" t="s">
        <v>553</v>
      </c>
      <c r="C330" s="1143"/>
      <c r="D330" s="1143"/>
      <c r="E330" s="1143"/>
      <c r="F330" s="1143"/>
      <c r="G330" s="1143"/>
      <c r="H330" s="1143"/>
      <c r="I330" s="166" t="s">
        <v>113</v>
      </c>
    </row>
    <row r="331" spans="1:9" x14ac:dyDescent="0.3">
      <c r="A331" s="127"/>
      <c r="B331" s="1180" t="s">
        <v>747</v>
      </c>
      <c r="C331" s="1180"/>
      <c r="D331" s="1180"/>
      <c r="E331" s="1180"/>
      <c r="F331" s="1180"/>
      <c r="G331" s="1180"/>
      <c r="H331" s="1180"/>
      <c r="I331" s="151">
        <v>1</v>
      </c>
    </row>
    <row r="332" spans="1:9" x14ac:dyDescent="0.3">
      <c r="A332" s="127"/>
      <c r="B332" s="1137" t="s">
        <v>496</v>
      </c>
      <c r="C332" s="1138"/>
      <c r="D332" s="1138"/>
      <c r="E332" s="1138"/>
      <c r="F332" s="1138"/>
      <c r="G332" s="1138"/>
      <c r="H332" s="1139"/>
      <c r="I332" s="145">
        <f>SUM(I331:I331)</f>
        <v>1</v>
      </c>
    </row>
    <row r="333" spans="1:9" x14ac:dyDescent="0.3">
      <c r="A333" s="130"/>
      <c r="B333" s="130"/>
      <c r="C333" s="130"/>
      <c r="D333" s="130"/>
      <c r="E333" s="131"/>
      <c r="F333" s="129"/>
      <c r="G333" s="127"/>
      <c r="H333" s="127"/>
      <c r="I333" s="127"/>
    </row>
    <row r="334" spans="1:9" ht="16.5" customHeight="1" x14ac:dyDescent="0.3">
      <c r="A334" s="132" t="str">
        <f>+PRESUPUESTO!B73</f>
        <v>ITE5129</v>
      </c>
      <c r="B334" s="1148" t="str">
        <f>+PRESUPUESTO!C73</f>
        <v>PLÁSTICO PARA PROTECCIÓN DE MATERIAL EXCAVADO</v>
      </c>
      <c r="C334" s="1148"/>
      <c r="D334" s="1148"/>
      <c r="E334" s="1148"/>
      <c r="F334" s="1148"/>
      <c r="G334" s="1148"/>
      <c r="H334" s="1148"/>
      <c r="I334" s="133" t="str">
        <f>+PRESUPUESTO!D73</f>
        <v>m2</v>
      </c>
    </row>
    <row r="335" spans="1:9" ht="33.75" customHeight="1" x14ac:dyDescent="0.3">
      <c r="A335" s="130"/>
      <c r="B335" s="1143" t="s">
        <v>553</v>
      </c>
      <c r="C335" s="1143"/>
      <c r="D335" s="1143"/>
      <c r="E335" s="1143"/>
      <c r="F335" s="1143"/>
      <c r="G335" s="203" t="s">
        <v>749</v>
      </c>
      <c r="H335" s="204" t="s">
        <v>560</v>
      </c>
      <c r="I335" s="165" t="s">
        <v>554</v>
      </c>
    </row>
    <row r="336" spans="1:9" ht="16.5" customHeight="1" x14ac:dyDescent="0.3">
      <c r="A336" s="130"/>
      <c r="B336" s="1184" t="s">
        <v>748</v>
      </c>
      <c r="C336" s="1184"/>
      <c r="D336" s="1184"/>
      <c r="E336" s="1184"/>
      <c r="F336" s="1184"/>
      <c r="G336" s="141">
        <f>+G124</f>
        <v>323.28034680191962</v>
      </c>
      <c r="H336" s="205">
        <v>2</v>
      </c>
      <c r="I336" s="141">
        <f>+G336*H336</f>
        <v>646.56069360383924</v>
      </c>
    </row>
    <row r="337" spans="1:10" ht="16.5" customHeight="1" x14ac:dyDescent="0.3">
      <c r="A337" s="130"/>
      <c r="B337" s="1159" t="s">
        <v>588</v>
      </c>
      <c r="C337" s="1160"/>
      <c r="D337" s="1160"/>
      <c r="E337" s="1160"/>
      <c r="F337" s="1161"/>
      <c r="G337" s="214">
        <v>50</v>
      </c>
      <c r="H337" s="214">
        <v>20</v>
      </c>
      <c r="I337" s="136">
        <f>+G337*H337</f>
        <v>1000</v>
      </c>
    </row>
    <row r="338" spans="1:10" ht="16.5" customHeight="1" x14ac:dyDescent="0.3">
      <c r="A338" s="130"/>
      <c r="B338" s="1159" t="s">
        <v>589</v>
      </c>
      <c r="C338" s="1160"/>
      <c r="D338" s="1160"/>
      <c r="E338" s="1160"/>
      <c r="F338" s="1161"/>
      <c r="G338" s="136">
        <v>8</v>
      </c>
      <c r="H338" s="136">
        <v>5</v>
      </c>
      <c r="I338" s="136">
        <f t="shared" ref="I338:I341" si="26">+G338*H338</f>
        <v>40</v>
      </c>
    </row>
    <row r="339" spans="1:10" ht="16.5" customHeight="1" x14ac:dyDescent="0.3">
      <c r="A339" s="130"/>
      <c r="B339" s="1159" t="s">
        <v>590</v>
      </c>
      <c r="C339" s="1160"/>
      <c r="D339" s="1160"/>
      <c r="E339" s="1160"/>
      <c r="F339" s="1161"/>
      <c r="G339" s="136">
        <v>4</v>
      </c>
      <c r="H339" s="136">
        <v>4</v>
      </c>
      <c r="I339" s="136">
        <f t="shared" si="26"/>
        <v>16</v>
      </c>
    </row>
    <row r="340" spans="1:10" ht="16.5" customHeight="1" x14ac:dyDescent="0.3">
      <c r="A340" s="130"/>
      <c r="B340" s="1159" t="s">
        <v>591</v>
      </c>
      <c r="C340" s="1160"/>
      <c r="D340" s="1160"/>
      <c r="E340" s="1160"/>
      <c r="F340" s="1161"/>
      <c r="G340" s="136">
        <v>10</v>
      </c>
      <c r="H340" s="136">
        <v>5</v>
      </c>
      <c r="I340" s="136">
        <f t="shared" si="26"/>
        <v>50</v>
      </c>
    </row>
    <row r="341" spans="1:10" ht="16.5" customHeight="1" x14ac:dyDescent="0.3">
      <c r="A341" s="130"/>
      <c r="B341" s="1159" t="s">
        <v>592</v>
      </c>
      <c r="C341" s="1160"/>
      <c r="D341" s="1160"/>
      <c r="E341" s="1160"/>
      <c r="F341" s="1161"/>
      <c r="G341" s="149">
        <v>6</v>
      </c>
      <c r="H341" s="136">
        <v>4</v>
      </c>
      <c r="I341" s="136">
        <f t="shared" si="26"/>
        <v>24</v>
      </c>
    </row>
    <row r="342" spans="1:10" x14ac:dyDescent="0.3">
      <c r="A342" s="130"/>
      <c r="B342" s="1162" t="s">
        <v>496</v>
      </c>
      <c r="C342" s="1163"/>
      <c r="D342" s="1163"/>
      <c r="E342" s="1163"/>
      <c r="F342" s="1163"/>
      <c r="G342" s="1163"/>
      <c r="H342" s="1163"/>
      <c r="I342" s="139">
        <f>SUM(I336:I341)</f>
        <v>1776.5606936038394</v>
      </c>
    </row>
    <row r="343" spans="1:10" x14ac:dyDescent="0.3">
      <c r="A343" s="130"/>
      <c r="B343" s="130"/>
      <c r="C343" s="130"/>
      <c r="D343" s="130"/>
      <c r="E343" s="131"/>
      <c r="F343" s="129"/>
      <c r="G343" s="127"/>
      <c r="H343" s="127"/>
      <c r="I343" s="127"/>
    </row>
    <row r="344" spans="1:10" ht="16.5" customHeight="1" x14ac:dyDescent="0.3">
      <c r="A344" s="130"/>
      <c r="B344" s="130"/>
      <c r="C344" s="130"/>
      <c r="D344" s="130"/>
      <c r="E344" s="131"/>
      <c r="F344" s="129"/>
      <c r="G344" s="1181" t="s">
        <v>750</v>
      </c>
      <c r="H344" s="1182"/>
      <c r="I344" s="148">
        <v>3</v>
      </c>
    </row>
    <row r="345" spans="1:10" x14ac:dyDescent="0.3">
      <c r="A345" s="130"/>
      <c r="B345" s="1137" t="s">
        <v>751</v>
      </c>
      <c r="C345" s="1138"/>
      <c r="D345" s="1138"/>
      <c r="E345" s="1138"/>
      <c r="F345" s="1138"/>
      <c r="G345" s="1138"/>
      <c r="H345" s="1139"/>
      <c r="I345" s="142">
        <f>ROUNDUP(I342/I344,0)</f>
        <v>593</v>
      </c>
    </row>
    <row r="346" spans="1:10" x14ac:dyDescent="0.3">
      <c r="A346" s="130"/>
      <c r="B346" s="130"/>
      <c r="C346" s="130"/>
      <c r="D346" s="130"/>
      <c r="E346" s="131"/>
      <c r="F346" s="129"/>
      <c r="G346" s="127"/>
      <c r="H346" s="127"/>
      <c r="I346" s="127"/>
    </row>
    <row r="347" spans="1:10" ht="16.5" customHeight="1" x14ac:dyDescent="0.3">
      <c r="A347" s="1166" t="s">
        <v>752</v>
      </c>
      <c r="B347" s="1167"/>
      <c r="C347" s="1167"/>
      <c r="D347" s="1167"/>
      <c r="E347" s="1167"/>
      <c r="F347" s="1167"/>
      <c r="G347" s="1167"/>
      <c r="H347" s="1167"/>
      <c r="I347" s="1167"/>
      <c r="J347" s="1167"/>
    </row>
    <row r="348" spans="1:10" x14ac:dyDescent="0.3">
      <c r="A348" s="130"/>
      <c r="B348" s="130"/>
      <c r="C348" s="130"/>
      <c r="D348" s="130"/>
      <c r="E348" s="131"/>
      <c r="F348" s="129"/>
      <c r="G348" s="127"/>
      <c r="H348" s="127"/>
      <c r="I348" s="127"/>
    </row>
    <row r="349" spans="1:10" x14ac:dyDescent="0.3">
      <c r="A349" s="1147" t="s">
        <v>753</v>
      </c>
      <c r="B349" s="1147"/>
      <c r="C349" s="1147"/>
      <c r="D349" s="1147"/>
      <c r="E349" s="1147"/>
      <c r="F349" s="1147"/>
      <c r="G349" s="1147"/>
      <c r="H349" s="1147"/>
      <c r="I349" s="1147"/>
    </row>
    <row r="350" spans="1:10" x14ac:dyDescent="0.3">
      <c r="A350" s="130"/>
      <c r="B350" s="130"/>
      <c r="C350" s="130"/>
      <c r="D350" s="130"/>
      <c r="E350" s="131"/>
      <c r="F350" s="129"/>
      <c r="G350" s="127"/>
      <c r="H350" s="127"/>
      <c r="I350" s="127"/>
    </row>
    <row r="351" spans="1:10" ht="32.25" customHeight="1" x14ac:dyDescent="0.3">
      <c r="A351" s="132" t="str">
        <f>+PRESUPUESTO!B76</f>
        <v>ITE6391</v>
      </c>
      <c r="B351" s="1148" t="str">
        <f>+PRESUPUESTO!C76</f>
        <v>EXCAVACIÓN SUBTERRÁNEA PARA LA CONFORMACIÓN DE LA SECCIÓN DEL TÚNEL, EN CUALQUIER TIPO DE MATERIAL ( INCLUYE DESALOJO DE MATERIAL)</v>
      </c>
      <c r="C351" s="1148"/>
      <c r="D351" s="1148"/>
      <c r="E351" s="1148"/>
      <c r="F351" s="1148"/>
      <c r="G351" s="1148"/>
      <c r="H351" s="1148"/>
      <c r="I351" s="133" t="str">
        <f>+PRESUPUESTO!D76</f>
        <v>m3</v>
      </c>
    </row>
    <row r="352" spans="1:10" x14ac:dyDescent="0.3">
      <c r="A352" s="130"/>
      <c r="B352" s="130"/>
      <c r="C352" s="130"/>
      <c r="D352" s="130"/>
      <c r="E352" s="131"/>
      <c r="F352" s="129"/>
      <c r="G352" s="127"/>
      <c r="H352" s="127"/>
      <c r="I352" s="127"/>
    </row>
    <row r="353" spans="1:9" x14ac:dyDescent="0.3">
      <c r="A353" s="130"/>
      <c r="B353" s="203" t="s">
        <v>754</v>
      </c>
      <c r="C353" s="203" t="s">
        <v>755</v>
      </c>
      <c r="D353" s="203" t="s">
        <v>756</v>
      </c>
      <c r="E353" s="203" t="s">
        <v>635</v>
      </c>
      <c r="F353" s="129"/>
      <c r="G353" s="127"/>
      <c r="H353" s="127"/>
      <c r="I353" s="127"/>
    </row>
    <row r="354" spans="1:9" x14ac:dyDescent="0.3">
      <c r="A354" s="130"/>
      <c r="B354" s="203"/>
      <c r="C354" s="203" t="s">
        <v>639</v>
      </c>
      <c r="D354" s="203" t="s">
        <v>757</v>
      </c>
      <c r="E354" s="203" t="s">
        <v>758</v>
      </c>
      <c r="F354" s="129"/>
      <c r="G354" s="127"/>
      <c r="H354" s="127"/>
      <c r="I354" s="127"/>
    </row>
    <row r="355" spans="1:9" x14ac:dyDescent="0.3">
      <c r="A355" s="130"/>
      <c r="B355" s="141">
        <v>0</v>
      </c>
      <c r="C355" s="141"/>
      <c r="D355" s="141">
        <v>0</v>
      </c>
      <c r="E355" s="141"/>
      <c r="F355" s="129"/>
      <c r="G355" s="127"/>
      <c r="H355" s="127"/>
      <c r="I355" s="127"/>
    </row>
    <row r="356" spans="1:9" x14ac:dyDescent="0.3">
      <c r="A356" s="130"/>
      <c r="B356" s="141"/>
      <c r="C356" s="141">
        <f>+B357-B355</f>
        <v>15</v>
      </c>
      <c r="D356" s="141"/>
      <c r="E356" s="141">
        <f>(D355+D357)/2*C356</f>
        <v>10.424999999999999</v>
      </c>
      <c r="F356" s="129"/>
      <c r="G356" s="127"/>
      <c r="H356" s="127"/>
      <c r="I356" s="127"/>
    </row>
    <row r="357" spans="1:9" x14ac:dyDescent="0.3">
      <c r="A357" s="130"/>
      <c r="B357" s="141">
        <v>15</v>
      </c>
      <c r="C357" s="141"/>
      <c r="D357" s="141">
        <v>1.39</v>
      </c>
      <c r="E357" s="141"/>
      <c r="F357" s="129"/>
      <c r="G357" s="127"/>
      <c r="H357" s="127"/>
      <c r="I357" s="127"/>
    </row>
    <row r="358" spans="1:9" x14ac:dyDescent="0.3">
      <c r="A358" s="130"/>
      <c r="B358" s="141"/>
      <c r="C358" s="141">
        <f>+B359-B357</f>
        <v>5</v>
      </c>
      <c r="D358" s="141"/>
      <c r="E358" s="141">
        <f>(D357+D359)/2*C358</f>
        <v>8.6999999999999993</v>
      </c>
      <c r="F358" s="129"/>
      <c r="G358" s="127"/>
      <c r="H358" s="127"/>
      <c r="I358" s="127"/>
    </row>
    <row r="359" spans="1:9" x14ac:dyDescent="0.3">
      <c r="A359" s="130"/>
      <c r="B359" s="141">
        <v>20</v>
      </c>
      <c r="C359" s="141"/>
      <c r="D359" s="141">
        <v>2.09</v>
      </c>
      <c r="E359" s="141"/>
      <c r="F359" s="129"/>
      <c r="G359" s="127"/>
      <c r="H359" s="127"/>
      <c r="I359" s="127"/>
    </row>
    <row r="360" spans="1:9" x14ac:dyDescent="0.3">
      <c r="A360" s="130"/>
      <c r="B360" s="141"/>
      <c r="C360" s="141">
        <v>5</v>
      </c>
      <c r="D360" s="141"/>
      <c r="E360" s="141">
        <f>(D359+D361)/2*C360</f>
        <v>9.4749999999999996</v>
      </c>
      <c r="F360" s="129"/>
      <c r="G360" s="127"/>
      <c r="H360" s="127"/>
      <c r="I360" s="127"/>
    </row>
    <row r="361" spans="1:9" x14ac:dyDescent="0.3">
      <c r="A361" s="130"/>
      <c r="B361" s="141">
        <v>30</v>
      </c>
      <c r="C361" s="141"/>
      <c r="D361" s="141">
        <v>1.7</v>
      </c>
      <c r="E361" s="141"/>
      <c r="F361" s="129"/>
      <c r="G361" s="127"/>
      <c r="H361" s="127"/>
      <c r="I361" s="127"/>
    </row>
    <row r="362" spans="1:9" x14ac:dyDescent="0.3">
      <c r="A362" s="130"/>
      <c r="B362" s="141"/>
      <c r="C362" s="141">
        <f>+B363-B361</f>
        <v>10</v>
      </c>
      <c r="D362" s="141"/>
      <c r="E362" s="141">
        <f>(D361+D363)/2*C362</f>
        <v>16.149999999999999</v>
      </c>
      <c r="F362" s="129"/>
      <c r="G362" s="127"/>
      <c r="H362" s="127"/>
      <c r="I362" s="127"/>
    </row>
    <row r="363" spans="1:9" x14ac:dyDescent="0.3">
      <c r="A363" s="130"/>
      <c r="B363" s="141">
        <v>40</v>
      </c>
      <c r="C363" s="141"/>
      <c r="D363" s="141">
        <v>1.53</v>
      </c>
      <c r="E363" s="141"/>
      <c r="F363" s="129"/>
      <c r="G363" s="127"/>
      <c r="H363" s="127"/>
      <c r="I363" s="127"/>
    </row>
    <row r="364" spans="1:9" x14ac:dyDescent="0.3">
      <c r="A364" s="130"/>
      <c r="B364" s="141"/>
      <c r="C364" s="141">
        <f>+B365-B363</f>
        <v>10</v>
      </c>
      <c r="D364" s="141"/>
      <c r="E364" s="141">
        <f>(D363+D365)/2*C364</f>
        <v>11.850000000000001</v>
      </c>
      <c r="F364" s="129"/>
      <c r="G364" s="127"/>
      <c r="H364" s="127"/>
      <c r="I364" s="127"/>
    </row>
    <row r="365" spans="1:9" x14ac:dyDescent="0.3">
      <c r="A365" s="130"/>
      <c r="B365" s="141">
        <v>50</v>
      </c>
      <c r="C365" s="141"/>
      <c r="D365" s="141">
        <v>0.84</v>
      </c>
      <c r="E365" s="141"/>
      <c r="F365" s="129"/>
      <c r="G365" s="127"/>
      <c r="H365" s="127"/>
      <c r="I365" s="127"/>
    </row>
    <row r="366" spans="1:9" x14ac:dyDescent="0.3">
      <c r="A366" s="130"/>
      <c r="B366" s="141"/>
      <c r="C366" s="141">
        <f>+B367-B365</f>
        <v>10</v>
      </c>
      <c r="D366" s="141"/>
      <c r="E366" s="141">
        <f>(D365+D367)/2*C366</f>
        <v>10.649999999999999</v>
      </c>
      <c r="F366" s="129"/>
      <c r="G366" s="127"/>
      <c r="H366" s="127"/>
      <c r="I366" s="127"/>
    </row>
    <row r="367" spans="1:9" x14ac:dyDescent="0.3">
      <c r="A367" s="130"/>
      <c r="B367" s="141">
        <v>60</v>
      </c>
      <c r="C367" s="141"/>
      <c r="D367" s="141">
        <v>1.29</v>
      </c>
      <c r="E367" s="141"/>
      <c r="F367" s="129"/>
      <c r="G367" s="127"/>
      <c r="H367" s="127"/>
      <c r="I367" s="127"/>
    </row>
    <row r="368" spans="1:9" x14ac:dyDescent="0.3">
      <c r="A368" s="130"/>
      <c r="B368" s="141"/>
      <c r="C368" s="141">
        <f>+B369-B367</f>
        <v>20</v>
      </c>
      <c r="D368" s="141"/>
      <c r="E368" s="141">
        <f>(D367+D369)/2*C368</f>
        <v>28.799999999999997</v>
      </c>
      <c r="F368" s="129"/>
      <c r="G368" s="127"/>
      <c r="H368" s="127"/>
      <c r="I368" s="127"/>
    </row>
    <row r="369" spans="1:9" x14ac:dyDescent="0.3">
      <c r="A369" s="130"/>
      <c r="B369" s="141">
        <v>80</v>
      </c>
      <c r="C369" s="141"/>
      <c r="D369" s="141">
        <v>1.59</v>
      </c>
      <c r="E369" s="141"/>
      <c r="F369" s="129"/>
      <c r="G369" s="127"/>
      <c r="H369" s="127"/>
      <c r="I369" s="127"/>
    </row>
    <row r="370" spans="1:9" x14ac:dyDescent="0.3">
      <c r="A370" s="130"/>
      <c r="B370" s="141"/>
      <c r="C370" s="141">
        <f>+B371-B369</f>
        <v>10</v>
      </c>
      <c r="D370" s="141"/>
      <c r="E370" s="141">
        <f>(D369+D371)/2*C370</f>
        <v>15.9</v>
      </c>
      <c r="F370" s="129"/>
      <c r="G370" s="127"/>
      <c r="H370" s="127"/>
      <c r="I370" s="127"/>
    </row>
    <row r="371" spans="1:9" x14ac:dyDescent="0.3">
      <c r="A371" s="130"/>
      <c r="B371" s="141">
        <v>90</v>
      </c>
      <c r="C371" s="141"/>
      <c r="D371" s="141">
        <f>+AVERAGE(D369,D373)</f>
        <v>1.59</v>
      </c>
      <c r="E371" s="141"/>
      <c r="F371" s="129"/>
      <c r="G371" s="127"/>
      <c r="H371" s="127"/>
      <c r="I371" s="127"/>
    </row>
    <row r="372" spans="1:9" x14ac:dyDescent="0.3">
      <c r="A372" s="130"/>
      <c r="B372" s="141"/>
      <c r="C372" s="141">
        <f>+B373-B371</f>
        <v>10</v>
      </c>
      <c r="D372" s="141"/>
      <c r="E372" s="141">
        <f>(D371+D373)/2*C372</f>
        <v>15.9</v>
      </c>
      <c r="F372" s="129"/>
      <c r="G372" s="127"/>
      <c r="H372" s="127"/>
      <c r="I372" s="127"/>
    </row>
    <row r="373" spans="1:9" x14ac:dyDescent="0.3">
      <c r="A373" s="130"/>
      <c r="B373" s="141">
        <v>100</v>
      </c>
      <c r="C373" s="141"/>
      <c r="D373" s="141">
        <v>1.59</v>
      </c>
      <c r="E373" s="141"/>
      <c r="F373" s="129"/>
      <c r="G373" s="127"/>
      <c r="H373" s="127"/>
      <c r="I373" s="127"/>
    </row>
    <row r="374" spans="1:9" x14ac:dyDescent="0.3">
      <c r="A374" s="130"/>
      <c r="B374" s="141"/>
      <c r="C374" s="141">
        <f>+B375-B373</f>
        <v>10</v>
      </c>
      <c r="D374" s="141"/>
      <c r="E374" s="141">
        <f>(D373+D375)/2*C374</f>
        <v>15.350000000000001</v>
      </c>
      <c r="F374" s="129"/>
      <c r="G374" s="127"/>
      <c r="H374" s="127"/>
      <c r="I374" s="127"/>
    </row>
    <row r="375" spans="1:9" x14ac:dyDescent="0.3">
      <c r="A375" s="130"/>
      <c r="B375" s="141">
        <v>110</v>
      </c>
      <c r="C375" s="141"/>
      <c r="D375" s="141">
        <v>1.48</v>
      </c>
      <c r="E375" s="141"/>
      <c r="F375" s="129"/>
      <c r="G375" s="127"/>
      <c r="H375" s="127"/>
      <c r="I375" s="127"/>
    </row>
    <row r="376" spans="1:9" x14ac:dyDescent="0.3">
      <c r="A376" s="130"/>
      <c r="B376" s="141"/>
      <c r="C376" s="141">
        <f>+B377-B375</f>
        <v>10</v>
      </c>
      <c r="D376" s="141"/>
      <c r="E376" s="141">
        <f>(D375+D377)/2*C376</f>
        <v>14.6</v>
      </c>
      <c r="F376" s="129"/>
      <c r="G376" s="127"/>
      <c r="H376" s="127"/>
      <c r="I376" s="127"/>
    </row>
    <row r="377" spans="1:9" x14ac:dyDescent="0.3">
      <c r="A377" s="130"/>
      <c r="B377" s="141">
        <v>120</v>
      </c>
      <c r="C377" s="141"/>
      <c r="D377" s="141">
        <v>1.44</v>
      </c>
      <c r="E377" s="141"/>
      <c r="F377" s="129"/>
      <c r="G377" s="127"/>
      <c r="H377" s="127"/>
      <c r="I377" s="127"/>
    </row>
    <row r="378" spans="1:9" x14ac:dyDescent="0.3">
      <c r="A378" s="130"/>
      <c r="B378" s="141"/>
      <c r="C378" s="141">
        <f>+B379-B377</f>
        <v>10</v>
      </c>
      <c r="D378" s="141"/>
      <c r="E378" s="141">
        <f>(D377+D379)/2*C378</f>
        <v>17.349999999999998</v>
      </c>
      <c r="F378" s="129"/>
      <c r="G378" s="127"/>
      <c r="H378" s="127"/>
      <c r="I378" s="127"/>
    </row>
    <row r="379" spans="1:9" x14ac:dyDescent="0.3">
      <c r="A379" s="130"/>
      <c r="B379" s="141">
        <v>130</v>
      </c>
      <c r="C379" s="141"/>
      <c r="D379" s="141">
        <v>2.0299999999999998</v>
      </c>
      <c r="E379" s="141"/>
      <c r="F379" s="129"/>
      <c r="G379" s="127"/>
      <c r="H379" s="127"/>
      <c r="I379" s="127"/>
    </row>
    <row r="380" spans="1:9" x14ac:dyDescent="0.3">
      <c r="A380" s="130"/>
      <c r="B380" s="141"/>
      <c r="C380" s="141">
        <f>+B381-B379</f>
        <v>10</v>
      </c>
      <c r="D380" s="141"/>
      <c r="E380" s="141">
        <f>(D379+D381)/2*C380</f>
        <v>20.299999999999997</v>
      </c>
      <c r="F380" s="129"/>
      <c r="G380" s="127"/>
      <c r="H380" s="127"/>
      <c r="I380" s="127"/>
    </row>
    <row r="381" spans="1:9" x14ac:dyDescent="0.3">
      <c r="A381" s="130"/>
      <c r="B381" s="141">
        <v>140</v>
      </c>
      <c r="C381" s="141"/>
      <c r="D381" s="141">
        <v>2.0299999999999998</v>
      </c>
      <c r="E381" s="141"/>
      <c r="F381" s="129"/>
      <c r="G381" s="127"/>
      <c r="H381" s="127"/>
      <c r="I381" s="127"/>
    </row>
    <row r="382" spans="1:9" x14ac:dyDescent="0.3">
      <c r="A382" s="130"/>
      <c r="B382" s="141"/>
      <c r="C382" s="141">
        <f>+B383-B381</f>
        <v>10</v>
      </c>
      <c r="D382" s="141"/>
      <c r="E382" s="141">
        <f>(D381+D383)/2*C382</f>
        <v>15.4</v>
      </c>
      <c r="F382" s="129"/>
      <c r="G382" s="127"/>
      <c r="H382" s="127"/>
      <c r="I382" s="127"/>
    </row>
    <row r="383" spans="1:9" x14ac:dyDescent="0.3">
      <c r="A383" s="130"/>
      <c r="B383" s="141">
        <v>150</v>
      </c>
      <c r="C383" s="141"/>
      <c r="D383" s="141">
        <v>1.05</v>
      </c>
      <c r="E383" s="141"/>
      <c r="F383" s="129"/>
      <c r="G383" s="127"/>
      <c r="H383" s="127"/>
      <c r="I383" s="127"/>
    </row>
    <row r="384" spans="1:9" x14ac:dyDescent="0.3">
      <c r="A384" s="130"/>
      <c r="B384" s="141"/>
      <c r="C384" s="141">
        <f>+B385-B383</f>
        <v>10</v>
      </c>
      <c r="D384" s="141"/>
      <c r="E384" s="141">
        <f>(D383+D385)/2*C384</f>
        <v>17.100000000000001</v>
      </c>
      <c r="F384" s="129"/>
      <c r="G384" s="127"/>
      <c r="H384" s="127"/>
      <c r="I384" s="127"/>
    </row>
    <row r="385" spans="1:9" x14ac:dyDescent="0.3">
      <c r="A385" s="130"/>
      <c r="B385" s="141">
        <v>160</v>
      </c>
      <c r="C385" s="141"/>
      <c r="D385" s="141">
        <v>2.37</v>
      </c>
      <c r="E385" s="141"/>
      <c r="F385" s="129"/>
      <c r="G385" s="127"/>
      <c r="H385" s="127"/>
      <c r="I385" s="127"/>
    </row>
    <row r="386" spans="1:9" x14ac:dyDescent="0.3">
      <c r="A386" s="130"/>
      <c r="B386" s="141"/>
      <c r="C386" s="141">
        <f>+B387-B385</f>
        <v>5</v>
      </c>
      <c r="D386" s="141"/>
      <c r="E386" s="141">
        <f>(D385+D387)/2*C386</f>
        <v>8.9749999999999996</v>
      </c>
      <c r="F386" s="129"/>
      <c r="G386" s="127"/>
      <c r="H386" s="127"/>
      <c r="I386" s="127"/>
    </row>
    <row r="387" spans="1:9" x14ac:dyDescent="0.3">
      <c r="A387" s="130"/>
      <c r="B387" s="141">
        <v>165</v>
      </c>
      <c r="C387" s="141"/>
      <c r="D387" s="141">
        <v>1.22</v>
      </c>
      <c r="E387" s="141"/>
      <c r="F387" s="129"/>
      <c r="G387" s="127"/>
      <c r="H387" s="127"/>
      <c r="I387" s="127"/>
    </row>
    <row r="388" spans="1:9" x14ac:dyDescent="0.3">
      <c r="A388" s="130"/>
      <c r="B388" s="141"/>
      <c r="C388" s="141">
        <f>+B389-B387</f>
        <v>5</v>
      </c>
      <c r="D388" s="141"/>
      <c r="E388" s="141">
        <f>(D387+D389)/2*C388</f>
        <v>6</v>
      </c>
      <c r="F388" s="129"/>
      <c r="G388" s="127"/>
      <c r="H388" s="127"/>
      <c r="I388" s="127"/>
    </row>
    <row r="389" spans="1:9" x14ac:dyDescent="0.3">
      <c r="A389" s="130"/>
      <c r="B389" s="141">
        <v>170</v>
      </c>
      <c r="C389" s="141"/>
      <c r="D389" s="141">
        <v>1.18</v>
      </c>
      <c r="E389" s="141"/>
      <c r="F389" s="129"/>
      <c r="G389" s="127"/>
      <c r="H389" s="127"/>
      <c r="I389" s="127"/>
    </row>
    <row r="390" spans="1:9" x14ac:dyDescent="0.3">
      <c r="A390" s="130"/>
      <c r="B390" s="141"/>
      <c r="C390" s="141">
        <f>+B391-B389</f>
        <v>10</v>
      </c>
      <c r="D390" s="141"/>
      <c r="E390" s="141">
        <f>(D389+D391)/2*C390</f>
        <v>13.65</v>
      </c>
      <c r="F390" s="129"/>
      <c r="G390" s="127"/>
      <c r="H390" s="127"/>
      <c r="I390" s="127"/>
    </row>
    <row r="391" spans="1:9" x14ac:dyDescent="0.3">
      <c r="A391" s="130"/>
      <c r="B391" s="141">
        <v>180</v>
      </c>
      <c r="C391" s="141"/>
      <c r="D391" s="141">
        <v>1.55</v>
      </c>
      <c r="E391" s="141"/>
      <c r="F391" s="129"/>
      <c r="G391" s="127"/>
      <c r="H391" s="127"/>
      <c r="I391" s="127"/>
    </row>
    <row r="392" spans="1:9" x14ac:dyDescent="0.3">
      <c r="A392" s="130"/>
      <c r="B392" s="141"/>
      <c r="C392" s="141">
        <f>+B393-B391</f>
        <v>10</v>
      </c>
      <c r="D392" s="141"/>
      <c r="E392" s="141">
        <f>(D391+D393)/2*C392</f>
        <v>14.25</v>
      </c>
      <c r="F392" s="129"/>
      <c r="G392" s="127"/>
      <c r="H392" s="127"/>
      <c r="I392" s="127"/>
    </row>
    <row r="393" spans="1:9" x14ac:dyDescent="0.3">
      <c r="A393" s="130"/>
      <c r="B393" s="141">
        <v>190</v>
      </c>
      <c r="C393" s="141"/>
      <c r="D393" s="141">
        <v>1.3</v>
      </c>
      <c r="E393" s="141"/>
      <c r="F393" s="129"/>
      <c r="G393" s="127"/>
      <c r="H393" s="127"/>
      <c r="I393" s="127"/>
    </row>
    <row r="394" spans="1:9" x14ac:dyDescent="0.3">
      <c r="A394" s="130"/>
      <c r="B394" s="141"/>
      <c r="C394" s="141">
        <f>+B395-B393</f>
        <v>10</v>
      </c>
      <c r="D394" s="141"/>
      <c r="E394" s="141">
        <f>(D393+D395)/2*C394</f>
        <v>13</v>
      </c>
      <c r="F394" s="129"/>
      <c r="G394" s="127"/>
      <c r="H394" s="127"/>
      <c r="I394" s="127"/>
    </row>
    <row r="395" spans="1:9" x14ac:dyDescent="0.3">
      <c r="A395" s="130"/>
      <c r="B395" s="141">
        <v>200</v>
      </c>
      <c r="C395" s="141"/>
      <c r="D395" s="141">
        <v>1.3</v>
      </c>
      <c r="E395" s="141"/>
      <c r="F395" s="129"/>
      <c r="G395" s="127"/>
      <c r="H395" s="127"/>
      <c r="I395" s="127"/>
    </row>
    <row r="396" spans="1:9" x14ac:dyDescent="0.3">
      <c r="A396" s="130"/>
      <c r="B396" s="141"/>
      <c r="C396" s="141">
        <f>+B397-B395</f>
        <v>10</v>
      </c>
      <c r="D396" s="141"/>
      <c r="E396" s="141">
        <f>(D395+D397)/2*C396</f>
        <v>13</v>
      </c>
      <c r="F396" s="129"/>
      <c r="G396" s="127"/>
      <c r="H396" s="127"/>
      <c r="I396" s="127"/>
    </row>
    <row r="397" spans="1:9" x14ac:dyDescent="0.3">
      <c r="A397" s="130"/>
      <c r="B397" s="141">
        <v>210</v>
      </c>
      <c r="C397" s="141"/>
      <c r="D397" s="141">
        <v>1.3</v>
      </c>
      <c r="E397" s="141"/>
      <c r="F397" s="129"/>
      <c r="G397" s="127"/>
      <c r="H397" s="127"/>
      <c r="I397" s="127"/>
    </row>
    <row r="398" spans="1:9" x14ac:dyDescent="0.3">
      <c r="A398" s="130"/>
      <c r="B398" s="141"/>
      <c r="C398" s="141">
        <f>+B399-B397</f>
        <v>10</v>
      </c>
      <c r="D398" s="141"/>
      <c r="E398" s="141">
        <f>(D397+D399)/2*C398</f>
        <v>13</v>
      </c>
      <c r="F398" s="129"/>
      <c r="G398" s="127"/>
      <c r="H398" s="127"/>
      <c r="I398" s="127"/>
    </row>
    <row r="399" spans="1:9" x14ac:dyDescent="0.3">
      <c r="A399" s="130"/>
      <c r="B399" s="141">
        <v>220</v>
      </c>
      <c r="C399" s="141"/>
      <c r="D399" s="141">
        <v>1.3</v>
      </c>
      <c r="E399" s="141"/>
      <c r="F399" s="129"/>
      <c r="G399" s="127"/>
      <c r="H399" s="127"/>
      <c r="I399" s="127"/>
    </row>
    <row r="400" spans="1:9" x14ac:dyDescent="0.3">
      <c r="A400" s="130"/>
      <c r="B400" s="141"/>
      <c r="C400" s="141">
        <f>+B401-B399</f>
        <v>10</v>
      </c>
      <c r="D400" s="141"/>
      <c r="E400" s="141">
        <f>(D399+D401)/2*C400</f>
        <v>11.600000000000001</v>
      </c>
      <c r="F400" s="129"/>
      <c r="G400" s="127"/>
      <c r="H400" s="127"/>
      <c r="I400" s="127"/>
    </row>
    <row r="401" spans="1:9" x14ac:dyDescent="0.3">
      <c r="A401" s="130"/>
      <c r="B401" s="141">
        <v>230</v>
      </c>
      <c r="C401" s="141"/>
      <c r="D401" s="141">
        <v>1.02</v>
      </c>
      <c r="E401" s="141"/>
      <c r="F401" s="129"/>
      <c r="G401" s="127"/>
      <c r="H401" s="127"/>
      <c r="I401" s="127"/>
    </row>
    <row r="402" spans="1:9" x14ac:dyDescent="0.3">
      <c r="A402" s="130"/>
      <c r="B402" s="141"/>
      <c r="C402" s="141">
        <f>+B403-B401</f>
        <v>10</v>
      </c>
      <c r="D402" s="141"/>
      <c r="E402" s="141">
        <f>(D401+D403)/2*C402</f>
        <v>8.6999999999999993</v>
      </c>
      <c r="F402" s="129"/>
      <c r="G402" s="127"/>
      <c r="H402" s="127"/>
      <c r="I402" s="127"/>
    </row>
    <row r="403" spans="1:9" x14ac:dyDescent="0.3">
      <c r="A403" s="130"/>
      <c r="B403" s="141">
        <v>240</v>
      </c>
      <c r="C403" s="141"/>
      <c r="D403" s="141">
        <v>0.72</v>
      </c>
      <c r="E403" s="141"/>
      <c r="F403" s="129"/>
      <c r="G403" s="127"/>
      <c r="H403" s="127"/>
      <c r="I403" s="127"/>
    </row>
    <row r="404" spans="1:9" x14ac:dyDescent="0.3">
      <c r="A404" s="130"/>
      <c r="B404" s="141"/>
      <c r="C404" s="141">
        <f>+B405-B403</f>
        <v>10</v>
      </c>
      <c r="D404" s="141"/>
      <c r="E404" s="141">
        <f>(D403+D405)/2*C404</f>
        <v>9.65</v>
      </c>
      <c r="F404" s="129"/>
      <c r="G404" s="127"/>
      <c r="H404" s="127"/>
      <c r="I404" s="127"/>
    </row>
    <row r="405" spans="1:9" x14ac:dyDescent="0.3">
      <c r="A405" s="130"/>
      <c r="B405" s="141">
        <v>250</v>
      </c>
      <c r="C405" s="141"/>
      <c r="D405" s="141">
        <v>1.21</v>
      </c>
      <c r="E405" s="141"/>
      <c r="F405" s="129"/>
      <c r="G405" s="127"/>
      <c r="H405" s="127"/>
      <c r="I405" s="127"/>
    </row>
    <row r="406" spans="1:9" x14ac:dyDescent="0.3">
      <c r="A406" s="130"/>
      <c r="B406" s="141"/>
      <c r="C406" s="141">
        <f>+B407-B405</f>
        <v>10</v>
      </c>
      <c r="D406" s="141"/>
      <c r="E406" s="141">
        <f>(D405+D407)/2*C406</f>
        <v>10.700000000000001</v>
      </c>
      <c r="F406" s="129"/>
      <c r="G406" s="127"/>
      <c r="H406" s="127"/>
      <c r="I406" s="127"/>
    </row>
    <row r="407" spans="1:9" x14ac:dyDescent="0.3">
      <c r="A407" s="130"/>
      <c r="B407" s="141">
        <v>260</v>
      </c>
      <c r="C407" s="141"/>
      <c r="D407" s="141">
        <v>0.93</v>
      </c>
      <c r="E407" s="141"/>
      <c r="F407" s="129"/>
      <c r="G407" s="127"/>
      <c r="H407" s="127"/>
      <c r="I407" s="127"/>
    </row>
    <row r="408" spans="1:9" x14ac:dyDescent="0.3">
      <c r="A408" s="130"/>
      <c r="B408" s="141"/>
      <c r="C408" s="141">
        <f>+B409-B407</f>
        <v>10</v>
      </c>
      <c r="D408" s="141"/>
      <c r="E408" s="141">
        <f>(D407+D409)/2*C408</f>
        <v>9.8500000000000014</v>
      </c>
      <c r="F408" s="129"/>
      <c r="G408" s="127"/>
      <c r="H408" s="127"/>
      <c r="I408" s="127"/>
    </row>
    <row r="409" spans="1:9" x14ac:dyDescent="0.3">
      <c r="A409" s="130"/>
      <c r="B409" s="141">
        <v>270</v>
      </c>
      <c r="C409" s="141"/>
      <c r="D409" s="141">
        <v>1.04</v>
      </c>
      <c r="E409" s="141"/>
      <c r="F409" s="129"/>
      <c r="G409" s="127"/>
      <c r="H409" s="127"/>
      <c r="I409" s="127"/>
    </row>
    <row r="410" spans="1:9" x14ac:dyDescent="0.3">
      <c r="A410" s="130"/>
      <c r="B410" s="141"/>
      <c r="C410" s="141">
        <f>+B411-B409</f>
        <v>10</v>
      </c>
      <c r="D410" s="141"/>
      <c r="E410" s="141">
        <f>(D409+D411)/2*C410</f>
        <v>10.4</v>
      </c>
      <c r="F410" s="129"/>
      <c r="G410" s="127"/>
      <c r="H410" s="127"/>
      <c r="I410" s="127"/>
    </row>
    <row r="411" spans="1:9" x14ac:dyDescent="0.3">
      <c r="A411" s="130"/>
      <c r="B411" s="141">
        <v>280</v>
      </c>
      <c r="C411" s="141"/>
      <c r="D411" s="141">
        <v>1.04</v>
      </c>
      <c r="E411" s="141"/>
      <c r="F411" s="129"/>
      <c r="G411" s="127"/>
      <c r="H411" s="127"/>
      <c r="I411" s="127"/>
    </row>
    <row r="412" spans="1:9" x14ac:dyDescent="0.3">
      <c r="A412" s="130"/>
      <c r="B412" s="141"/>
      <c r="C412" s="141">
        <f>+B413-B411</f>
        <v>10</v>
      </c>
      <c r="D412" s="141"/>
      <c r="E412" s="141">
        <f>(D411+D413)/2*C412</f>
        <v>10</v>
      </c>
      <c r="F412" s="129"/>
      <c r="G412" s="127"/>
      <c r="H412" s="127"/>
      <c r="I412" s="127"/>
    </row>
    <row r="413" spans="1:9" x14ac:dyDescent="0.3">
      <c r="A413" s="130"/>
      <c r="B413" s="141">
        <v>290</v>
      </c>
      <c r="C413" s="141"/>
      <c r="D413" s="141">
        <v>0.96</v>
      </c>
      <c r="E413" s="141"/>
      <c r="F413" s="129"/>
      <c r="G413" s="127"/>
      <c r="H413" s="127"/>
      <c r="I413" s="127"/>
    </row>
    <row r="414" spans="1:9" x14ac:dyDescent="0.3">
      <c r="A414" s="130"/>
      <c r="B414" s="141"/>
      <c r="C414" s="141">
        <f>+B415-B413</f>
        <v>10</v>
      </c>
      <c r="D414" s="141"/>
      <c r="E414" s="141">
        <f>(D413+D415)/2*C414</f>
        <v>9.6</v>
      </c>
      <c r="F414" s="129"/>
      <c r="G414" s="127"/>
      <c r="H414" s="127"/>
      <c r="I414" s="127"/>
    </row>
    <row r="415" spans="1:9" x14ac:dyDescent="0.3">
      <c r="A415" s="130"/>
      <c r="B415" s="141">
        <v>300</v>
      </c>
      <c r="C415" s="141"/>
      <c r="D415" s="141">
        <v>0.96</v>
      </c>
      <c r="E415" s="141"/>
      <c r="F415" s="129"/>
      <c r="G415" s="127"/>
      <c r="H415" s="127"/>
      <c r="I415" s="127"/>
    </row>
    <row r="416" spans="1:9" x14ac:dyDescent="0.3">
      <c r="A416" s="130"/>
      <c r="B416" s="141"/>
      <c r="C416" s="141">
        <f>+B417-B415</f>
        <v>10</v>
      </c>
      <c r="D416" s="141"/>
      <c r="E416" s="141">
        <f>(D415+D417)/2*C416</f>
        <v>9.6</v>
      </c>
      <c r="F416" s="129"/>
      <c r="G416" s="127"/>
      <c r="H416" s="127"/>
      <c r="I416" s="127"/>
    </row>
    <row r="417" spans="1:9" x14ac:dyDescent="0.3">
      <c r="A417" s="130"/>
      <c r="B417" s="141">
        <v>310</v>
      </c>
      <c r="C417" s="141"/>
      <c r="D417" s="141">
        <v>0.96</v>
      </c>
      <c r="E417" s="141"/>
      <c r="F417" s="129"/>
      <c r="G417" s="127"/>
      <c r="H417" s="127"/>
      <c r="I417" s="127"/>
    </row>
    <row r="418" spans="1:9" x14ac:dyDescent="0.3">
      <c r="A418" s="130"/>
      <c r="B418" s="1137" t="s">
        <v>760</v>
      </c>
      <c r="C418" s="1138"/>
      <c r="D418" s="1138"/>
      <c r="E418" s="142">
        <f>SUM(E356:E417)</f>
        <v>399.92500000000001</v>
      </c>
      <c r="F418" s="129"/>
      <c r="G418" s="127"/>
      <c r="H418" s="127"/>
      <c r="I418" s="127"/>
    </row>
    <row r="419" spans="1:9" x14ac:dyDescent="0.3">
      <c r="A419" s="130"/>
      <c r="B419" s="215"/>
      <c r="C419" s="215"/>
      <c r="D419" s="216"/>
      <c r="E419" s="215"/>
      <c r="F419" s="129"/>
      <c r="G419" s="127"/>
      <c r="H419" s="127"/>
      <c r="I419" s="127"/>
    </row>
    <row r="420" spans="1:9" ht="16.5" customHeight="1" x14ac:dyDescent="0.3">
      <c r="A420" s="130"/>
      <c r="B420" s="1158" t="s">
        <v>759</v>
      </c>
      <c r="C420" s="1158"/>
      <c r="D420" s="1158"/>
      <c r="E420" s="217">
        <v>0.1</v>
      </c>
    </row>
    <row r="421" spans="1:9" x14ac:dyDescent="0.3">
      <c r="A421" s="130"/>
      <c r="B421" s="1146" t="s">
        <v>760</v>
      </c>
      <c r="C421" s="1146"/>
      <c r="D421" s="1146"/>
      <c r="E421" s="142">
        <f>ROUNDUP(E418*(1+E420),0)</f>
        <v>440</v>
      </c>
      <c r="F421" s="218"/>
      <c r="G421" s="218"/>
      <c r="H421" s="218"/>
    </row>
    <row r="422" spans="1:9" x14ac:dyDescent="0.3">
      <c r="A422" s="130"/>
      <c r="B422" s="215"/>
      <c r="C422" s="215"/>
      <c r="D422" s="216"/>
      <c r="E422" s="215"/>
      <c r="F422" s="129"/>
      <c r="G422" s="127"/>
      <c r="H422" s="127"/>
      <c r="I422" s="127"/>
    </row>
    <row r="423" spans="1:9" x14ac:dyDescent="0.3">
      <c r="A423" s="132" t="str">
        <f>+PRESUPUESTO!B77</f>
        <v>ITE5607</v>
      </c>
      <c r="B423" s="1148" t="str">
        <f>+PRESUPUESTO!C77</f>
        <v>LLENO INTERIOR DEL TÚNEL UTILIZANDO SACOS DE SUELO CEMENTO AL 7%</v>
      </c>
      <c r="C423" s="1148"/>
      <c r="D423" s="1148"/>
      <c r="E423" s="1148"/>
      <c r="F423" s="1148"/>
      <c r="G423" s="1148"/>
      <c r="H423" s="1148"/>
      <c r="I423" s="133" t="str">
        <f>+PRESUPUESTO!D77</f>
        <v>m3</v>
      </c>
    </row>
    <row r="424" spans="1:9" x14ac:dyDescent="0.3">
      <c r="A424" s="130"/>
      <c r="B424" s="215"/>
      <c r="C424" s="215"/>
      <c r="D424" s="216"/>
      <c r="E424" s="215"/>
      <c r="F424" s="129"/>
      <c r="G424" s="127"/>
      <c r="H424" s="127"/>
      <c r="I424" s="127"/>
    </row>
    <row r="425" spans="1:9" x14ac:dyDescent="0.3">
      <c r="A425" s="130"/>
      <c r="B425" s="203" t="s">
        <v>754</v>
      </c>
      <c r="C425" s="203" t="s">
        <v>755</v>
      </c>
      <c r="D425" s="203" t="s">
        <v>756</v>
      </c>
      <c r="E425" s="203" t="s">
        <v>635</v>
      </c>
      <c r="F425" s="129"/>
      <c r="G425" s="127"/>
      <c r="H425" s="127"/>
      <c r="I425" s="127"/>
    </row>
    <row r="426" spans="1:9" x14ac:dyDescent="0.3">
      <c r="A426" s="130"/>
      <c r="B426" s="203"/>
      <c r="C426" s="203" t="s">
        <v>639</v>
      </c>
      <c r="D426" s="203" t="s">
        <v>757</v>
      </c>
      <c r="E426" s="203" t="s">
        <v>758</v>
      </c>
      <c r="F426" s="129"/>
      <c r="G426" s="127"/>
      <c r="H426" s="127"/>
      <c r="I426" s="127"/>
    </row>
    <row r="427" spans="1:9" x14ac:dyDescent="0.3">
      <c r="A427" s="130"/>
      <c r="B427" s="141">
        <v>45</v>
      </c>
      <c r="C427" s="141"/>
      <c r="D427" s="141">
        <v>0</v>
      </c>
      <c r="E427" s="141"/>
      <c r="F427" s="129"/>
      <c r="G427" s="127"/>
      <c r="H427" s="127"/>
      <c r="I427" s="127"/>
    </row>
    <row r="428" spans="1:9" x14ac:dyDescent="0.3">
      <c r="A428" s="130"/>
      <c r="B428" s="141"/>
      <c r="C428" s="141">
        <f>+B429-B427</f>
        <v>5</v>
      </c>
      <c r="D428" s="141"/>
      <c r="E428" s="141">
        <f>(D427+D429)/2*C428</f>
        <v>1.85</v>
      </c>
      <c r="F428" s="129"/>
      <c r="G428" s="127"/>
      <c r="H428" s="127"/>
      <c r="I428" s="127"/>
    </row>
    <row r="429" spans="1:9" x14ac:dyDescent="0.3">
      <c r="A429" s="130"/>
      <c r="B429" s="141">
        <v>50</v>
      </c>
      <c r="C429" s="141"/>
      <c r="D429" s="141">
        <v>0.74</v>
      </c>
      <c r="E429" s="141"/>
      <c r="F429" s="129"/>
      <c r="G429" s="127"/>
      <c r="H429" s="127"/>
      <c r="I429" s="127"/>
    </row>
    <row r="430" spans="1:9" x14ac:dyDescent="0.3">
      <c r="A430" s="130"/>
      <c r="B430" s="141"/>
      <c r="C430" s="141">
        <f>+B431-B429</f>
        <v>10</v>
      </c>
      <c r="D430" s="141"/>
      <c r="E430" s="141">
        <f>(D429+D431)/2*C430</f>
        <v>4.2</v>
      </c>
      <c r="F430" s="129"/>
      <c r="G430" s="127"/>
      <c r="H430" s="127"/>
      <c r="I430" s="127"/>
    </row>
    <row r="431" spans="1:9" x14ac:dyDescent="0.3">
      <c r="A431" s="130"/>
      <c r="B431" s="141">
        <v>60</v>
      </c>
      <c r="C431" s="141"/>
      <c r="D431" s="141">
        <v>0.1</v>
      </c>
      <c r="E431" s="141"/>
      <c r="F431" s="129"/>
      <c r="G431" s="127"/>
      <c r="H431" s="127"/>
      <c r="I431" s="127"/>
    </row>
    <row r="432" spans="1:9" x14ac:dyDescent="0.3">
      <c r="A432" s="130"/>
      <c r="B432" s="141"/>
      <c r="C432" s="141">
        <v>5</v>
      </c>
      <c r="D432" s="141"/>
      <c r="E432" s="141">
        <f>(D431+D433)/2*C432</f>
        <v>1.25</v>
      </c>
      <c r="F432" s="129"/>
      <c r="G432" s="127"/>
      <c r="H432" s="127"/>
      <c r="I432" s="127"/>
    </row>
    <row r="433" spans="1:9" x14ac:dyDescent="0.3">
      <c r="A433" s="130"/>
      <c r="B433" s="141">
        <v>70</v>
      </c>
      <c r="C433" s="141"/>
      <c r="D433" s="141">
        <v>0.4</v>
      </c>
      <c r="E433" s="141"/>
      <c r="F433" s="129"/>
      <c r="G433" s="127"/>
      <c r="H433" s="127"/>
      <c r="I433" s="127"/>
    </row>
    <row r="434" spans="1:9" x14ac:dyDescent="0.3">
      <c r="A434" s="130"/>
      <c r="B434" s="141"/>
      <c r="C434" s="141">
        <f>+B435-B433</f>
        <v>10</v>
      </c>
      <c r="D434" s="141"/>
      <c r="E434" s="141">
        <f>(D433+D435)/2*C434</f>
        <v>2.8500000000000005</v>
      </c>
      <c r="F434" s="129"/>
      <c r="G434" s="127"/>
      <c r="H434" s="127"/>
      <c r="I434" s="127"/>
    </row>
    <row r="435" spans="1:9" x14ac:dyDescent="0.3">
      <c r="A435" s="130"/>
      <c r="B435" s="141">
        <v>80</v>
      </c>
      <c r="C435" s="141"/>
      <c r="D435" s="141">
        <v>0.17</v>
      </c>
      <c r="E435" s="141"/>
      <c r="F435" s="129"/>
      <c r="G435" s="127"/>
      <c r="H435" s="127"/>
      <c r="I435" s="127"/>
    </row>
    <row r="436" spans="1:9" x14ac:dyDescent="0.3">
      <c r="A436" s="130"/>
      <c r="B436" s="141"/>
      <c r="C436" s="141">
        <f>+B437-B435</f>
        <v>10</v>
      </c>
      <c r="D436" s="141"/>
      <c r="E436" s="141">
        <f>(D435+D437)/2*C436</f>
        <v>1.7000000000000002</v>
      </c>
      <c r="F436" s="129"/>
      <c r="G436" s="127"/>
      <c r="H436" s="127"/>
      <c r="I436" s="127"/>
    </row>
    <row r="437" spans="1:9" x14ac:dyDescent="0.3">
      <c r="A437" s="130"/>
      <c r="B437" s="141">
        <v>90</v>
      </c>
      <c r="C437" s="141"/>
      <c r="D437" s="141">
        <v>0.17</v>
      </c>
      <c r="E437" s="141"/>
      <c r="F437" s="129"/>
      <c r="G437" s="127"/>
      <c r="H437" s="127"/>
      <c r="I437" s="127"/>
    </row>
    <row r="438" spans="1:9" x14ac:dyDescent="0.3">
      <c r="A438" s="130"/>
      <c r="B438" s="141"/>
      <c r="C438" s="141"/>
      <c r="D438" s="141"/>
      <c r="E438" s="141"/>
      <c r="F438" s="129"/>
      <c r="G438" s="127"/>
      <c r="H438" s="127"/>
      <c r="I438" s="127"/>
    </row>
    <row r="439" spans="1:9" x14ac:dyDescent="0.3">
      <c r="A439" s="130"/>
      <c r="B439" s="141">
        <v>165</v>
      </c>
      <c r="C439" s="141"/>
      <c r="D439" s="141">
        <v>0</v>
      </c>
      <c r="E439" s="141"/>
      <c r="F439" s="129"/>
      <c r="G439" s="127"/>
      <c r="H439" s="127"/>
      <c r="I439" s="127"/>
    </row>
    <row r="440" spans="1:9" x14ac:dyDescent="0.3">
      <c r="A440" s="130"/>
      <c r="B440" s="141"/>
      <c r="C440" s="141">
        <f>+B441-B439</f>
        <v>5</v>
      </c>
      <c r="D440" s="141"/>
      <c r="E440" s="141">
        <f>(D439+D441)/2*C440</f>
        <v>0.375</v>
      </c>
      <c r="F440" s="129"/>
      <c r="G440" s="127"/>
      <c r="H440" s="127"/>
      <c r="I440" s="127"/>
    </row>
    <row r="441" spans="1:9" x14ac:dyDescent="0.3">
      <c r="A441" s="130"/>
      <c r="B441" s="141">
        <v>170</v>
      </c>
      <c r="C441" s="141"/>
      <c r="D441" s="141">
        <v>0.15</v>
      </c>
      <c r="E441" s="141"/>
      <c r="F441" s="129"/>
      <c r="G441" s="127"/>
      <c r="H441" s="127"/>
      <c r="I441" s="127"/>
    </row>
    <row r="442" spans="1:9" x14ac:dyDescent="0.3">
      <c r="A442" s="130"/>
      <c r="B442" s="141"/>
      <c r="C442" s="141">
        <f>+B443-B441</f>
        <v>10</v>
      </c>
      <c r="D442" s="141"/>
      <c r="E442" s="141">
        <f>(D441+D443)/2*C442</f>
        <v>1.5</v>
      </c>
      <c r="F442" s="129"/>
      <c r="G442" s="127"/>
      <c r="H442" s="127"/>
      <c r="I442" s="127"/>
    </row>
    <row r="443" spans="1:9" x14ac:dyDescent="0.3">
      <c r="A443" s="130"/>
      <c r="B443" s="141">
        <v>180</v>
      </c>
      <c r="C443" s="141"/>
      <c r="D443" s="141">
        <v>0.15</v>
      </c>
      <c r="E443" s="141"/>
      <c r="F443" s="129"/>
      <c r="G443" s="127"/>
      <c r="H443" s="127"/>
      <c r="I443" s="127"/>
    </row>
    <row r="444" spans="1:9" x14ac:dyDescent="0.3">
      <c r="A444" s="130"/>
      <c r="B444" s="141"/>
      <c r="C444" s="141">
        <f>+B445-B443</f>
        <v>5</v>
      </c>
      <c r="D444" s="141"/>
      <c r="E444" s="141">
        <f>(D443+D445)/2*C444</f>
        <v>0.375</v>
      </c>
      <c r="F444" s="129"/>
      <c r="G444" s="127"/>
      <c r="H444" s="127"/>
      <c r="I444" s="127"/>
    </row>
    <row r="445" spans="1:9" x14ac:dyDescent="0.3">
      <c r="A445" s="130"/>
      <c r="B445" s="141">
        <v>185</v>
      </c>
      <c r="C445" s="141"/>
      <c r="D445" s="141">
        <v>0</v>
      </c>
      <c r="E445" s="141"/>
      <c r="F445" s="129"/>
      <c r="G445" s="127"/>
      <c r="H445" s="127"/>
      <c r="I445" s="127"/>
    </row>
    <row r="446" spans="1:9" x14ac:dyDescent="0.3">
      <c r="A446" s="130"/>
      <c r="B446" s="141"/>
      <c r="C446" s="141"/>
      <c r="D446" s="141"/>
      <c r="E446" s="141"/>
      <c r="F446" s="129"/>
      <c r="G446" s="127"/>
      <c r="H446" s="127"/>
      <c r="I446" s="127"/>
    </row>
    <row r="447" spans="1:9" x14ac:dyDescent="0.3">
      <c r="A447" s="130"/>
      <c r="B447" s="141">
        <v>225</v>
      </c>
      <c r="C447" s="141"/>
      <c r="D447" s="141">
        <v>0</v>
      </c>
      <c r="E447" s="141"/>
      <c r="F447" s="129"/>
      <c r="G447" s="127"/>
      <c r="H447" s="127"/>
      <c r="I447" s="127"/>
    </row>
    <row r="448" spans="1:9" x14ac:dyDescent="0.3">
      <c r="A448" s="130"/>
      <c r="B448" s="141"/>
      <c r="C448" s="141">
        <f>+B449-B447</f>
        <v>5</v>
      </c>
      <c r="D448" s="141"/>
      <c r="E448" s="141">
        <f>(D447+D449)/2*C448</f>
        <v>0.05</v>
      </c>
      <c r="F448" s="129"/>
      <c r="G448" s="127"/>
      <c r="H448" s="127"/>
      <c r="I448" s="127"/>
    </row>
    <row r="449" spans="1:9" x14ac:dyDescent="0.3">
      <c r="A449" s="130"/>
      <c r="B449" s="141">
        <v>230</v>
      </c>
      <c r="C449" s="141"/>
      <c r="D449" s="141">
        <v>0.02</v>
      </c>
      <c r="E449" s="141"/>
      <c r="F449" s="129"/>
      <c r="G449" s="127"/>
      <c r="H449" s="127"/>
      <c r="I449" s="127"/>
    </row>
    <row r="450" spans="1:9" x14ac:dyDescent="0.3">
      <c r="A450" s="130"/>
      <c r="B450" s="141"/>
      <c r="C450" s="141"/>
      <c r="D450" s="141"/>
      <c r="E450" s="141"/>
      <c r="F450" s="129"/>
      <c r="G450" s="127"/>
      <c r="H450" s="127"/>
      <c r="I450" s="127"/>
    </row>
    <row r="451" spans="1:9" x14ac:dyDescent="0.3">
      <c r="A451" s="130"/>
      <c r="B451" s="141">
        <v>265</v>
      </c>
      <c r="C451" s="141"/>
      <c r="D451" s="141">
        <v>0</v>
      </c>
      <c r="E451" s="141"/>
      <c r="F451" s="129"/>
      <c r="G451" s="127"/>
      <c r="H451" s="127"/>
      <c r="I451" s="127"/>
    </row>
    <row r="452" spans="1:9" x14ac:dyDescent="0.3">
      <c r="A452" s="130"/>
      <c r="B452" s="141"/>
      <c r="C452" s="141">
        <f>+B453-B451</f>
        <v>5</v>
      </c>
      <c r="D452" s="141"/>
      <c r="E452" s="141">
        <f>(D451+D453)/2*C452</f>
        <v>7.4999999999999997E-2</v>
      </c>
      <c r="F452" s="129"/>
      <c r="G452" s="127"/>
      <c r="H452" s="127"/>
      <c r="I452" s="127"/>
    </row>
    <row r="453" spans="1:9" x14ac:dyDescent="0.3">
      <c r="A453" s="130"/>
      <c r="B453" s="141">
        <v>270</v>
      </c>
      <c r="C453" s="141"/>
      <c r="D453" s="141">
        <v>0.03</v>
      </c>
      <c r="E453" s="141"/>
      <c r="F453" s="129"/>
      <c r="G453" s="127"/>
      <c r="H453" s="127"/>
      <c r="I453" s="127"/>
    </row>
    <row r="454" spans="1:9" x14ac:dyDescent="0.3">
      <c r="A454" s="130"/>
      <c r="B454" s="141"/>
      <c r="C454" s="141">
        <f>+B455-B453</f>
        <v>10</v>
      </c>
      <c r="D454" s="141"/>
      <c r="E454" s="141">
        <f>(D453+D455)/2*C454</f>
        <v>0.3</v>
      </c>
      <c r="F454" s="129"/>
      <c r="G454" s="127"/>
      <c r="H454" s="127"/>
      <c r="I454" s="127"/>
    </row>
    <row r="455" spans="1:9" x14ac:dyDescent="0.3">
      <c r="A455" s="130"/>
      <c r="B455" s="141">
        <v>280</v>
      </c>
      <c r="C455" s="141"/>
      <c r="D455" s="141">
        <v>0.03</v>
      </c>
      <c r="E455" s="141"/>
      <c r="F455" s="129"/>
      <c r="G455" s="127"/>
      <c r="H455" s="127"/>
      <c r="I455" s="127"/>
    </row>
    <row r="456" spans="1:9" x14ac:dyDescent="0.3">
      <c r="A456" s="130"/>
      <c r="B456" s="1146" t="s">
        <v>761</v>
      </c>
      <c r="C456" s="1146"/>
      <c r="D456" s="1146"/>
      <c r="E456" s="142">
        <f>SUM(E428:E455)</f>
        <v>14.525000000000002</v>
      </c>
      <c r="F456" s="129"/>
      <c r="G456" s="127"/>
      <c r="H456" s="127"/>
      <c r="I456" s="127"/>
    </row>
    <row r="457" spans="1:9" x14ac:dyDescent="0.3">
      <c r="A457" s="130"/>
      <c r="B457" s="215"/>
      <c r="C457" s="215"/>
      <c r="D457" s="216"/>
      <c r="E457" s="215"/>
      <c r="F457" s="129"/>
      <c r="G457" s="127"/>
      <c r="H457" s="127"/>
      <c r="I457" s="127"/>
    </row>
    <row r="458" spans="1:9" ht="33.75" customHeight="1" x14ac:dyDescent="0.3">
      <c r="A458" s="132" t="str">
        <f>+PRESUPUESTO!B78</f>
        <v>EPA0119</v>
      </c>
      <c r="B458" s="1148" t="str">
        <f>+PRESUPUESTO!C78</f>
        <v>LLENO COMPACTADO CON MATERIAL GRANULAR, INCLUYE TRASIEGO DE MATERIAL CON USO DE TARABITA</v>
      </c>
      <c r="C458" s="1148"/>
      <c r="D458" s="1148"/>
      <c r="E458" s="1148"/>
      <c r="F458" s="1148"/>
      <c r="G458" s="1148"/>
      <c r="H458" s="1148"/>
      <c r="I458" s="133" t="str">
        <f>+PRESUPUESTO!D78</f>
        <v>m3</v>
      </c>
    </row>
    <row r="459" spans="1:9" ht="27.6" x14ac:dyDescent="0.3">
      <c r="A459" s="127"/>
      <c r="B459" s="1143" t="s">
        <v>553</v>
      </c>
      <c r="C459" s="1143"/>
      <c r="D459" s="1143"/>
      <c r="E459" s="1143"/>
      <c r="F459" s="140" t="s">
        <v>685</v>
      </c>
      <c r="G459" s="140" t="s">
        <v>763</v>
      </c>
      <c r="H459" s="140" t="s">
        <v>555</v>
      </c>
      <c r="I459" s="204" t="s">
        <v>556</v>
      </c>
    </row>
    <row r="460" spans="1:9" x14ac:dyDescent="0.3">
      <c r="A460" s="127"/>
      <c r="B460" s="1154" t="s">
        <v>762</v>
      </c>
      <c r="C460" s="1154"/>
      <c r="D460" s="1154"/>
      <c r="E460" s="1154"/>
      <c r="F460" s="205">
        <v>310</v>
      </c>
      <c r="G460" s="141">
        <v>2.1</v>
      </c>
      <c r="H460" s="205">
        <v>0.25</v>
      </c>
      <c r="I460" s="141">
        <f>ROUND(F460*G460*H460,0)</f>
        <v>163</v>
      </c>
    </row>
    <row r="461" spans="1:9" x14ac:dyDescent="0.3">
      <c r="A461" s="127"/>
      <c r="B461" s="1137" t="s">
        <v>496</v>
      </c>
      <c r="C461" s="1138"/>
      <c r="D461" s="1138"/>
      <c r="E461" s="1138"/>
      <c r="F461" s="1138"/>
      <c r="G461" s="1138"/>
      <c r="H461" s="1139"/>
      <c r="I461" s="142">
        <f>SUM(I460:I460)</f>
        <v>163</v>
      </c>
    </row>
    <row r="462" spans="1:9" x14ac:dyDescent="0.3">
      <c r="A462" s="130"/>
      <c r="B462" s="215"/>
      <c r="C462" s="215"/>
      <c r="D462" s="216"/>
      <c r="E462" s="215"/>
      <c r="F462" s="129"/>
      <c r="G462" s="127"/>
      <c r="H462" s="127"/>
      <c r="I462" s="127"/>
    </row>
    <row r="463" spans="1:9" x14ac:dyDescent="0.3">
      <c r="A463" s="132" t="str">
        <f>+PRESUPUESTO!B79</f>
        <v>ITE6346</v>
      </c>
      <c r="B463" s="1148" t="str">
        <f>+PRESUPUESTO!C79</f>
        <v>TRASIEGO Y DISPOSICIÓN DEL MATERIAL SOBRANTE DE LA EXCAVACIÓN DEL TÚNEL</v>
      </c>
      <c r="C463" s="1148"/>
      <c r="D463" s="1148"/>
      <c r="E463" s="1148"/>
      <c r="F463" s="1148"/>
      <c r="G463" s="1148"/>
      <c r="H463" s="1148"/>
      <c r="I463" s="133" t="str">
        <f>+PRESUPUESTO!D79</f>
        <v>m3</v>
      </c>
    </row>
    <row r="464" spans="1:9" x14ac:dyDescent="0.3">
      <c r="A464" s="127"/>
      <c r="B464" s="1143" t="s">
        <v>553</v>
      </c>
      <c r="C464" s="1143"/>
      <c r="D464" s="1143"/>
      <c r="E464" s="1143"/>
      <c r="F464" s="1143"/>
      <c r="G464" s="1143"/>
      <c r="H464" s="1143"/>
      <c r="I464" s="204" t="s">
        <v>556</v>
      </c>
    </row>
    <row r="465" spans="1:9" ht="16.5" customHeight="1" x14ac:dyDescent="0.3">
      <c r="A465" s="127"/>
      <c r="B465" s="1154" t="s">
        <v>764</v>
      </c>
      <c r="C465" s="1154"/>
      <c r="D465" s="1154"/>
      <c r="E465" s="1154"/>
      <c r="F465" s="1154"/>
      <c r="G465" s="1154"/>
      <c r="H465" s="1154"/>
      <c r="I465" s="141">
        <f>+PRESUPUESTO!E76</f>
        <v>440</v>
      </c>
    </row>
    <row r="466" spans="1:9" ht="15" customHeight="1" x14ac:dyDescent="0.3">
      <c r="A466" s="127"/>
      <c r="B466" s="1154" t="s">
        <v>765</v>
      </c>
      <c r="C466" s="1154"/>
      <c r="D466" s="1154"/>
      <c r="E466" s="1154"/>
      <c r="F466" s="1154"/>
      <c r="G466" s="1154"/>
      <c r="H466" s="1154"/>
      <c r="I466" s="141">
        <f>+PRESUPUESTO!E80</f>
        <v>78</v>
      </c>
    </row>
    <row r="467" spans="1:9" x14ac:dyDescent="0.3">
      <c r="A467" s="127"/>
      <c r="B467" s="1137" t="s">
        <v>584</v>
      </c>
      <c r="C467" s="1138"/>
      <c r="D467" s="1138"/>
      <c r="E467" s="1138"/>
      <c r="F467" s="1138"/>
      <c r="G467" s="1138"/>
      <c r="H467" s="1139"/>
      <c r="I467" s="158">
        <f>SUM(I465:I466)</f>
        <v>518</v>
      </c>
    </row>
    <row r="468" spans="1:9" x14ac:dyDescent="0.3">
      <c r="A468" s="127"/>
    </row>
    <row r="469" spans="1:9" x14ac:dyDescent="0.3">
      <c r="A469" s="130"/>
      <c r="B469" s="1154" t="s">
        <v>95</v>
      </c>
      <c r="C469" s="1154"/>
      <c r="D469" s="1154"/>
      <c r="E469" s="1154"/>
      <c r="F469" s="1154"/>
      <c r="G469" s="1154"/>
      <c r="H469" s="1154"/>
      <c r="I469" s="158">
        <f>+PRESUPUESTO!E77</f>
        <v>14.525000000000002</v>
      </c>
    </row>
    <row r="470" spans="1:9" x14ac:dyDescent="0.3">
      <c r="A470" s="130"/>
      <c r="B470" s="215"/>
      <c r="C470" s="215"/>
      <c r="D470" s="216"/>
      <c r="E470" s="215"/>
      <c r="F470" s="129"/>
      <c r="G470" s="127"/>
      <c r="H470" s="127"/>
      <c r="I470" s="127"/>
    </row>
    <row r="471" spans="1:9" x14ac:dyDescent="0.3">
      <c r="A471" s="130"/>
      <c r="B471" s="1137" t="s">
        <v>766</v>
      </c>
      <c r="C471" s="1138"/>
      <c r="D471" s="1138"/>
      <c r="E471" s="1138"/>
      <c r="F471" s="1138"/>
      <c r="G471" s="1138"/>
      <c r="H471" s="1139"/>
      <c r="I471" s="142">
        <f>ROUND(I467-I469,0)</f>
        <v>503</v>
      </c>
    </row>
    <row r="472" spans="1:9" x14ac:dyDescent="0.3">
      <c r="A472" s="130"/>
      <c r="B472" s="215"/>
      <c r="C472" s="215"/>
      <c r="D472" s="216"/>
      <c r="E472" s="215"/>
      <c r="F472" s="129"/>
      <c r="G472" s="127"/>
      <c r="H472" s="127"/>
      <c r="I472" s="127"/>
    </row>
    <row r="473" spans="1:9" ht="38.25" customHeight="1" x14ac:dyDescent="0.3">
      <c r="A473" s="132" t="str">
        <f>+PRESUPUESTO!B80</f>
        <v>ITE5160</v>
      </c>
      <c r="B473" s="1148" t="str">
        <f>+PRESUPUESTO!C80</f>
        <v>CONCRETO PARA SOLADO Y RENIVELACION DE RASANTE, EN CONCRETO DE f'c 21 MPa (3.000 PSI), espesor prom=0.05 m, INCLUYE TRASIEGO DE MATERIAL CON USO DE TARABITA</v>
      </c>
      <c r="C473" s="1148"/>
      <c r="D473" s="1148"/>
      <c r="E473" s="1148"/>
      <c r="F473" s="1148"/>
      <c r="G473" s="1148"/>
      <c r="H473" s="1148"/>
      <c r="I473" s="219" t="str">
        <f>+PRESUPUESTO!D80</f>
        <v>m3</v>
      </c>
    </row>
    <row r="474" spans="1:9" ht="27.6" x14ac:dyDescent="0.3">
      <c r="A474" s="127"/>
      <c r="B474" s="1143" t="s">
        <v>553</v>
      </c>
      <c r="C474" s="1143"/>
      <c r="D474" s="1143"/>
      <c r="E474" s="1143"/>
      <c r="F474" s="140" t="s">
        <v>685</v>
      </c>
      <c r="G474" s="140" t="s">
        <v>763</v>
      </c>
      <c r="H474" s="140" t="s">
        <v>555</v>
      </c>
      <c r="I474" s="204" t="s">
        <v>556</v>
      </c>
    </row>
    <row r="475" spans="1:9" ht="32.25" customHeight="1" x14ac:dyDescent="0.3">
      <c r="A475" s="127"/>
      <c r="B475" s="1154" t="s">
        <v>776</v>
      </c>
      <c r="C475" s="1154"/>
      <c r="D475" s="1154"/>
      <c r="E475" s="1154"/>
      <c r="F475" s="205">
        <v>310</v>
      </c>
      <c r="G475" s="141">
        <v>2.1</v>
      </c>
      <c r="H475" s="205">
        <v>0.05</v>
      </c>
      <c r="I475" s="141">
        <f>ROUND(F475*G475*H475,0)</f>
        <v>33</v>
      </c>
    </row>
    <row r="476" spans="1:9" ht="32.25" customHeight="1" x14ac:dyDescent="0.3">
      <c r="A476" s="127"/>
      <c r="B476" s="1154" t="s">
        <v>777</v>
      </c>
      <c r="C476" s="1154"/>
      <c r="D476" s="1154"/>
      <c r="E476" s="1154"/>
      <c r="F476" s="205">
        <v>25</v>
      </c>
      <c r="G476" s="141">
        <v>1.5</v>
      </c>
      <c r="H476" s="205">
        <v>1.2</v>
      </c>
      <c r="I476" s="141">
        <f>ROUND(F476*G476*H476,0)</f>
        <v>45</v>
      </c>
    </row>
    <row r="477" spans="1:9" x14ac:dyDescent="0.3">
      <c r="A477" s="127"/>
      <c r="B477" s="1137" t="s">
        <v>496</v>
      </c>
      <c r="C477" s="1138"/>
      <c r="D477" s="1138"/>
      <c r="E477" s="1138"/>
      <c r="F477" s="1138"/>
      <c r="G477" s="1138"/>
      <c r="H477" s="1139"/>
      <c r="I477" s="142">
        <f>SUM(I475:I476)</f>
        <v>78</v>
      </c>
    </row>
    <row r="478" spans="1:9" x14ac:dyDescent="0.3">
      <c r="A478" s="130"/>
      <c r="B478" s="215"/>
      <c r="C478" s="215"/>
      <c r="D478" s="216"/>
      <c r="E478" s="215"/>
      <c r="F478" s="129"/>
      <c r="G478" s="127"/>
      <c r="H478" s="127"/>
      <c r="I478" s="127"/>
    </row>
    <row r="479" spans="1:9" x14ac:dyDescent="0.3">
      <c r="A479" s="130"/>
      <c r="B479" s="215"/>
      <c r="C479" s="215"/>
      <c r="D479" s="216"/>
      <c r="E479" s="215"/>
      <c r="F479" s="129"/>
      <c r="G479" s="127"/>
      <c r="H479" s="127"/>
      <c r="I479" s="127"/>
    </row>
    <row r="480" spans="1:9" x14ac:dyDescent="0.3">
      <c r="A480" s="1147" t="s">
        <v>767</v>
      </c>
      <c r="B480" s="1147"/>
      <c r="C480" s="1147"/>
      <c r="D480" s="1147"/>
      <c r="E480" s="1147"/>
      <c r="F480" s="1147"/>
      <c r="G480" s="1147"/>
      <c r="H480" s="1147"/>
      <c r="I480" s="1147"/>
    </row>
    <row r="481" spans="1:11" x14ac:dyDescent="0.3">
      <c r="A481" s="130"/>
      <c r="B481" s="215"/>
      <c r="C481" s="215"/>
      <c r="D481" s="216"/>
      <c r="E481" s="215"/>
      <c r="F481" s="129"/>
      <c r="G481" s="127"/>
      <c r="H481" s="127"/>
      <c r="I481" s="127"/>
    </row>
    <row r="482" spans="1:11" ht="35.25" customHeight="1" x14ac:dyDescent="0.3">
      <c r="A482" s="132" t="str">
        <f>+PRESUPUESTO!B82</f>
        <v>ITE6398</v>
      </c>
      <c r="B482" s="1148" t="str">
        <f>+PRESUPUESTO!C82</f>
        <v>CONCRETO DE 28 MPa PARA PISO DE TÚNELES e=0.30 m, INCLUYE TRASIEGO DE MATERIAL CON USO DE TARABITA</v>
      </c>
      <c r="C482" s="1148"/>
      <c r="D482" s="1148"/>
      <c r="E482" s="1148"/>
      <c r="F482" s="1148"/>
      <c r="G482" s="1148"/>
      <c r="H482" s="1148"/>
      <c r="I482" s="1148"/>
      <c r="J482" s="219" t="str">
        <f>+PRESUPUESTO!D82</f>
        <v>m3</v>
      </c>
    </row>
    <row r="483" spans="1:11" ht="27.6" x14ac:dyDescent="0.3">
      <c r="A483" s="127"/>
      <c r="B483" s="1155" t="s">
        <v>553</v>
      </c>
      <c r="C483" s="1156"/>
      <c r="D483" s="1156"/>
      <c r="E483" s="1156"/>
      <c r="F483" s="1157"/>
      <c r="G483" s="140" t="s">
        <v>685</v>
      </c>
      <c r="H483" s="140" t="s">
        <v>763</v>
      </c>
      <c r="I483" s="140" t="s">
        <v>555</v>
      </c>
      <c r="J483" s="204" t="s">
        <v>556</v>
      </c>
    </row>
    <row r="484" spans="1:11" ht="16.5" customHeight="1" x14ac:dyDescent="0.3">
      <c r="A484" s="127"/>
      <c r="B484" s="1140" t="s">
        <v>768</v>
      </c>
      <c r="C484" s="1141"/>
      <c r="D484" s="1141"/>
      <c r="E484" s="1141"/>
      <c r="F484" s="1142"/>
      <c r="G484" s="205">
        <v>310</v>
      </c>
      <c r="H484" s="141">
        <v>2.1</v>
      </c>
      <c r="I484" s="205">
        <v>0.3</v>
      </c>
      <c r="J484" s="141">
        <f>ROUND(G484*H484*I484,0)</f>
        <v>195</v>
      </c>
    </row>
    <row r="485" spans="1:11" x14ac:dyDescent="0.3">
      <c r="A485" s="127"/>
      <c r="B485" s="1146" t="s">
        <v>496</v>
      </c>
      <c r="C485" s="1146"/>
      <c r="D485" s="1146"/>
      <c r="E485" s="1146"/>
      <c r="F485" s="1146"/>
      <c r="G485" s="1146"/>
      <c r="H485" s="1146"/>
      <c r="I485" s="1146"/>
      <c r="J485" s="142">
        <f>SUM(J484:J484)</f>
        <v>195</v>
      </c>
    </row>
    <row r="486" spans="1:11" x14ac:dyDescent="0.3">
      <c r="A486" s="130"/>
      <c r="B486" s="215"/>
      <c r="C486" s="215"/>
      <c r="D486" s="216"/>
      <c r="E486" s="215"/>
      <c r="F486" s="129"/>
      <c r="G486" s="127"/>
      <c r="H486" s="127"/>
      <c r="I486" s="127"/>
    </row>
    <row r="487" spans="1:11" ht="32.25" customHeight="1" x14ac:dyDescent="0.3">
      <c r="A487" s="132" t="str">
        <f>+PRESUPUESTO!B83</f>
        <v>ITE6396</v>
      </c>
      <c r="B487" s="1148" t="str">
        <f>+PRESUPUESTO!C83</f>
        <v>CONCRETO LANZADO PARA TÚNELES, INCLUYE MALLA ELECTROSOLDADA, LLORADEROS Y ANCLAJES PARA MALLA</v>
      </c>
      <c r="C487" s="1148"/>
      <c r="D487" s="1148"/>
      <c r="E487" s="1148"/>
      <c r="F487" s="1148"/>
      <c r="G487" s="1148"/>
      <c r="H487" s="1148"/>
      <c r="I487" s="1148"/>
      <c r="J487" s="219" t="str">
        <f>+PRESUPUESTO!D83</f>
        <v>m3</v>
      </c>
    </row>
    <row r="488" spans="1:11" ht="41.4" x14ac:dyDescent="0.3">
      <c r="A488" s="127"/>
      <c r="B488" s="1143" t="s">
        <v>553</v>
      </c>
      <c r="C488" s="1143"/>
      <c r="D488" s="1143"/>
      <c r="E488" s="1143"/>
      <c r="F488" s="1143"/>
      <c r="G488" s="140" t="s">
        <v>770</v>
      </c>
      <c r="H488" s="140" t="s">
        <v>769</v>
      </c>
      <c r="I488" s="140" t="s">
        <v>555</v>
      </c>
      <c r="J488" s="204" t="s">
        <v>556</v>
      </c>
    </row>
    <row r="489" spans="1:11" x14ac:dyDescent="0.3">
      <c r="A489" s="127"/>
      <c r="B489" s="1140" t="s">
        <v>768</v>
      </c>
      <c r="C489" s="1141"/>
      <c r="D489" s="1141"/>
      <c r="E489" s="1141"/>
      <c r="F489" s="1142"/>
      <c r="G489" s="205">
        <f>310-5-5</f>
        <v>300</v>
      </c>
      <c r="H489" s="141">
        <v>2.7</v>
      </c>
      <c r="I489" s="205">
        <v>0.3</v>
      </c>
      <c r="J489" s="141">
        <f>ROUND(G489*H489*I489,0)</f>
        <v>243</v>
      </c>
    </row>
    <row r="490" spans="1:11" x14ac:dyDescent="0.3">
      <c r="A490" s="127"/>
      <c r="B490" s="1146" t="s">
        <v>496</v>
      </c>
      <c r="C490" s="1146"/>
      <c r="D490" s="1146"/>
      <c r="E490" s="1146"/>
      <c r="F490" s="1146"/>
      <c r="G490" s="1146"/>
      <c r="H490" s="1146"/>
      <c r="I490" s="1146"/>
      <c r="J490" s="142">
        <f>SUM(J489:J489)</f>
        <v>243</v>
      </c>
    </row>
    <row r="491" spans="1:11" x14ac:dyDescent="0.3">
      <c r="A491" s="130"/>
      <c r="B491" s="215"/>
      <c r="C491" s="215"/>
      <c r="D491" s="216"/>
      <c r="E491" s="215"/>
      <c r="F491" s="129"/>
      <c r="G491" s="127"/>
      <c r="H491" s="127"/>
      <c r="I491" s="127"/>
    </row>
    <row r="492" spans="1:11" ht="35.25" customHeight="1" x14ac:dyDescent="0.3">
      <c r="A492" s="132" t="str">
        <f>+PRESUPUESTO!B84</f>
        <v>ITE5268</v>
      </c>
      <c r="B492" s="1148" t="str">
        <f>+PRESUPUESTO!C84</f>
        <v>MUROS Y BÓVEDA EN CONCRETO IMPERMEABILIZADO DE f'c 28 MPa, e= 0,30 m, INCLUYE TRASIEGO DE MATERIAL CON USO DE TARABITA</v>
      </c>
      <c r="C492" s="1148"/>
      <c r="D492" s="1148"/>
      <c r="E492" s="1148"/>
      <c r="F492" s="1148"/>
      <c r="G492" s="1148"/>
      <c r="H492" s="1148"/>
      <c r="I492" s="1148"/>
      <c r="J492" s="219" t="str">
        <f>+PRESUPUESTO!D84</f>
        <v>m3</v>
      </c>
    </row>
    <row r="493" spans="1:11" ht="41.4" x14ac:dyDescent="0.3">
      <c r="A493" s="127"/>
      <c r="B493" s="1143" t="s">
        <v>553</v>
      </c>
      <c r="C493" s="1143"/>
      <c r="D493" s="1143"/>
      <c r="E493" s="1143"/>
      <c r="F493" s="1143"/>
      <c r="G493" s="1143"/>
      <c r="H493" s="140" t="s">
        <v>770</v>
      </c>
      <c r="I493" s="140" t="s">
        <v>775</v>
      </c>
      <c r="J493" s="140" t="s">
        <v>555</v>
      </c>
      <c r="K493" s="204" t="s">
        <v>556</v>
      </c>
    </row>
    <row r="494" spans="1:11" ht="16.5" customHeight="1" x14ac:dyDescent="0.3">
      <c r="A494" s="127"/>
      <c r="B494" s="1154" t="s">
        <v>773</v>
      </c>
      <c r="C494" s="1154"/>
      <c r="D494" s="1154"/>
      <c r="E494" s="1154"/>
      <c r="F494" s="1154"/>
      <c r="G494" s="1154"/>
      <c r="H494" s="205">
        <v>300</v>
      </c>
      <c r="I494" s="141">
        <v>1.25</v>
      </c>
      <c r="J494" s="205">
        <v>0.3</v>
      </c>
      <c r="K494" s="141">
        <f>ROUND(H494*I494*J494,0)</f>
        <v>113</v>
      </c>
    </row>
    <row r="495" spans="1:11" ht="16.5" customHeight="1" x14ac:dyDescent="0.3">
      <c r="A495" s="127"/>
      <c r="B495" s="1154" t="s">
        <v>774</v>
      </c>
      <c r="C495" s="1154"/>
      <c r="D495" s="1154"/>
      <c r="E495" s="1154"/>
      <c r="F495" s="1154"/>
      <c r="G495" s="1154"/>
      <c r="H495" s="205">
        <v>300</v>
      </c>
      <c r="I495" s="141">
        <v>1.25</v>
      </c>
      <c r="J495" s="205">
        <v>0.3</v>
      </c>
      <c r="K495" s="141">
        <f>ROUND(H495*I495*J495,0)</f>
        <v>113</v>
      </c>
    </row>
    <row r="496" spans="1:11" ht="16.5" customHeight="1" x14ac:dyDescent="0.3">
      <c r="A496" s="127"/>
      <c r="B496" s="1154" t="s">
        <v>771</v>
      </c>
      <c r="C496" s="1154"/>
      <c r="D496" s="1154"/>
      <c r="E496" s="1154"/>
      <c r="F496" s="1154"/>
      <c r="G496" s="1154"/>
      <c r="H496" s="205">
        <v>5</v>
      </c>
      <c r="I496" s="141">
        <v>2.7</v>
      </c>
      <c r="J496" s="205">
        <v>0.3</v>
      </c>
      <c r="K496" s="141">
        <f>ROUND(H496*I496*J496,0)</f>
        <v>4</v>
      </c>
    </row>
    <row r="497" spans="1:12" ht="16.5" customHeight="1" x14ac:dyDescent="0.3">
      <c r="A497" s="127"/>
      <c r="B497" s="1140" t="s">
        <v>772</v>
      </c>
      <c r="C497" s="1141"/>
      <c r="D497" s="1141"/>
      <c r="E497" s="1141"/>
      <c r="F497" s="1141"/>
      <c r="G497" s="1142"/>
      <c r="H497" s="205">
        <v>5</v>
      </c>
      <c r="I497" s="141">
        <v>2.7</v>
      </c>
      <c r="J497" s="205">
        <v>0.3</v>
      </c>
      <c r="K497" s="141">
        <f>ROUND(H497*I497*J497,0)</f>
        <v>4</v>
      </c>
    </row>
    <row r="498" spans="1:12" x14ac:dyDescent="0.3">
      <c r="A498" s="127"/>
      <c r="B498" s="1146" t="s">
        <v>496</v>
      </c>
      <c r="C498" s="1146"/>
      <c r="D498" s="1146"/>
      <c r="E498" s="1146"/>
      <c r="F498" s="1146"/>
      <c r="G498" s="1146"/>
      <c r="H498" s="1146"/>
      <c r="I498" s="1146"/>
      <c r="J498" s="1146"/>
      <c r="K498" s="142">
        <f>SUM(K494:K497)</f>
        <v>234</v>
      </c>
    </row>
    <row r="499" spans="1:12" x14ac:dyDescent="0.3">
      <c r="A499" s="130"/>
      <c r="B499" s="215"/>
      <c r="C499" s="215"/>
      <c r="D499" s="216"/>
      <c r="E499" s="215"/>
      <c r="F499" s="129"/>
      <c r="G499" s="127"/>
      <c r="H499" s="127"/>
      <c r="I499" s="127"/>
    </row>
    <row r="500" spans="1:12" x14ac:dyDescent="0.3">
      <c r="A500" s="1147" t="s">
        <v>778</v>
      </c>
      <c r="B500" s="1147"/>
      <c r="C500" s="1147"/>
      <c r="D500" s="1147"/>
      <c r="E500" s="1147"/>
      <c r="F500" s="1147"/>
      <c r="G500" s="1147"/>
      <c r="H500" s="1147"/>
      <c r="I500" s="1147"/>
      <c r="J500" s="1147"/>
      <c r="K500" s="1147"/>
      <c r="L500" s="1147"/>
    </row>
    <row r="501" spans="1:12" x14ac:dyDescent="0.3">
      <c r="A501" s="130"/>
      <c r="B501" s="215"/>
      <c r="C501" s="215"/>
      <c r="D501" s="216"/>
      <c r="E501" s="215"/>
      <c r="F501" s="129"/>
      <c r="G501" s="127"/>
      <c r="H501" s="127"/>
      <c r="I501" s="127"/>
    </row>
    <row r="502" spans="1:12" ht="16.5" customHeight="1" x14ac:dyDescent="0.3">
      <c r="A502" s="132" t="str">
        <f>+PRESUPUESTO!B86</f>
        <v>EPA0008</v>
      </c>
      <c r="B502" s="1151" t="str">
        <f>+PRESUPUESTO!C86</f>
        <v>ACERO Fy= 420 MPa (60.000 psi) DE REFUERZO, PARA SOLERA, MUROS LATERALES Y BOVEDA EN CONCRETO ESTRUCTURAL</v>
      </c>
      <c r="C502" s="1152"/>
      <c r="D502" s="1152"/>
      <c r="E502" s="1152"/>
      <c r="F502" s="1152"/>
      <c r="G502" s="1152"/>
      <c r="H502" s="1152"/>
      <c r="I502" s="1152"/>
      <c r="J502" s="1152"/>
      <c r="K502" s="1153"/>
      <c r="L502" s="219" t="str">
        <f>+PRESUPUESTO!D86</f>
        <v>Kg</v>
      </c>
    </row>
    <row r="503" spans="1:12" x14ac:dyDescent="0.3">
      <c r="A503" s="130"/>
      <c r="B503" s="215"/>
      <c r="C503" s="215"/>
      <c r="D503" s="216"/>
      <c r="E503" s="215"/>
      <c r="F503" s="129"/>
      <c r="G503" s="127"/>
      <c r="H503" s="127"/>
      <c r="I503" s="127"/>
    </row>
    <row r="504" spans="1:12" ht="17.25" customHeight="1" x14ac:dyDescent="0.3">
      <c r="A504" s="130"/>
      <c r="B504" s="1149" t="s">
        <v>781</v>
      </c>
      <c r="C504" s="1149"/>
      <c r="D504" s="1149"/>
      <c r="E504" s="1149"/>
      <c r="F504" s="1149"/>
      <c r="G504" s="1149"/>
      <c r="H504" s="1149"/>
      <c r="I504" s="1149"/>
      <c r="J504" s="1149"/>
      <c r="K504" s="1149"/>
      <c r="L504" s="1149"/>
    </row>
    <row r="505" spans="1:12" ht="55.5" customHeight="1" x14ac:dyDescent="0.3">
      <c r="A505" s="130"/>
      <c r="B505" s="1150" t="s">
        <v>553</v>
      </c>
      <c r="C505" s="1150"/>
      <c r="D505" s="1150"/>
      <c r="E505" s="203" t="s">
        <v>559</v>
      </c>
      <c r="F505" s="203" t="s">
        <v>683</v>
      </c>
      <c r="G505" s="203" t="s">
        <v>684</v>
      </c>
      <c r="H505" s="203" t="s">
        <v>685</v>
      </c>
      <c r="I505" s="203" t="s">
        <v>686</v>
      </c>
      <c r="J505" s="203" t="s">
        <v>687</v>
      </c>
      <c r="K505" s="203" t="s">
        <v>688</v>
      </c>
      <c r="L505" s="203" t="s">
        <v>689</v>
      </c>
    </row>
    <row r="506" spans="1:12" x14ac:dyDescent="0.3">
      <c r="A506" s="130"/>
      <c r="B506" s="1144" t="s">
        <v>782</v>
      </c>
      <c r="C506" s="1144"/>
      <c r="D506" s="1144"/>
      <c r="E506" s="205">
        <f>ROUNDUP(5/0.15,0)</f>
        <v>34</v>
      </c>
      <c r="F506" s="205">
        <v>4</v>
      </c>
      <c r="G506" s="205">
        <v>1</v>
      </c>
      <c r="H506" s="205">
        <v>6</v>
      </c>
      <c r="I506" s="205">
        <v>0</v>
      </c>
      <c r="J506" s="141">
        <v>0.56000000000000005</v>
      </c>
      <c r="K506" s="141">
        <f t="shared" ref="K506:K512" si="27">+H506*E506+I506*J506</f>
        <v>204</v>
      </c>
      <c r="L506" s="141">
        <f t="shared" ref="L506:L512" si="28">+K506*G506</f>
        <v>204</v>
      </c>
    </row>
    <row r="507" spans="1:12" x14ac:dyDescent="0.3">
      <c r="A507" s="130"/>
      <c r="B507" s="1144" t="s">
        <v>783</v>
      </c>
      <c r="C507" s="1144"/>
      <c r="D507" s="1144"/>
      <c r="E507" s="205">
        <v>33</v>
      </c>
      <c r="F507" s="205">
        <v>4</v>
      </c>
      <c r="G507" s="205">
        <v>1</v>
      </c>
      <c r="H507" s="205">
        <v>5</v>
      </c>
      <c r="I507" s="205">
        <f>+E507</f>
        <v>33</v>
      </c>
      <c r="J507" s="141">
        <v>0.56000000000000005</v>
      </c>
      <c r="K507" s="141">
        <f t="shared" si="27"/>
        <v>183.48</v>
      </c>
      <c r="L507" s="141">
        <f t="shared" si="28"/>
        <v>183.48</v>
      </c>
    </row>
    <row r="508" spans="1:12" x14ac:dyDescent="0.3">
      <c r="A508" s="130"/>
      <c r="B508" s="1144" t="s">
        <v>784</v>
      </c>
      <c r="C508" s="1144"/>
      <c r="D508" s="1144"/>
      <c r="E508" s="205">
        <f>+$E$506</f>
        <v>34</v>
      </c>
      <c r="F508" s="205">
        <v>5</v>
      </c>
      <c r="G508" s="205">
        <v>1.55</v>
      </c>
      <c r="H508" s="205">
        <v>3.66</v>
      </c>
      <c r="I508" s="205">
        <v>0</v>
      </c>
      <c r="J508" s="141">
        <v>0.7</v>
      </c>
      <c r="K508" s="141">
        <f t="shared" si="27"/>
        <v>124.44</v>
      </c>
      <c r="L508" s="141">
        <f t="shared" si="28"/>
        <v>192.88200000000001</v>
      </c>
    </row>
    <row r="509" spans="1:12" x14ac:dyDescent="0.3">
      <c r="A509" s="130"/>
      <c r="B509" s="1144" t="s">
        <v>785</v>
      </c>
      <c r="C509" s="1144"/>
      <c r="D509" s="1144"/>
      <c r="E509" s="205">
        <v>18</v>
      </c>
      <c r="F509" s="205">
        <v>3</v>
      </c>
      <c r="G509" s="205">
        <v>0.56000000000000005</v>
      </c>
      <c r="H509" s="205">
        <v>5</v>
      </c>
      <c r="I509" s="205">
        <f>+E509</f>
        <v>18</v>
      </c>
      <c r="J509" s="141">
        <v>0.42</v>
      </c>
      <c r="K509" s="141">
        <f t="shared" si="27"/>
        <v>97.56</v>
      </c>
      <c r="L509" s="141">
        <f t="shared" si="28"/>
        <v>54.633600000000008</v>
      </c>
    </row>
    <row r="510" spans="1:12" x14ac:dyDescent="0.3">
      <c r="A510" s="130"/>
      <c r="B510" s="1144" t="s">
        <v>786</v>
      </c>
      <c r="C510" s="1144"/>
      <c r="D510" s="1144"/>
      <c r="E510" s="205">
        <v>15</v>
      </c>
      <c r="F510" s="205">
        <v>4</v>
      </c>
      <c r="G510" s="205">
        <v>1</v>
      </c>
      <c r="H510" s="205">
        <v>5</v>
      </c>
      <c r="I510" s="205">
        <f>+E510</f>
        <v>15</v>
      </c>
      <c r="J510" s="141">
        <v>0.56000000000000005</v>
      </c>
      <c r="K510" s="141">
        <f t="shared" si="27"/>
        <v>83.4</v>
      </c>
      <c r="L510" s="141">
        <f t="shared" si="28"/>
        <v>83.4</v>
      </c>
    </row>
    <row r="511" spans="1:12" x14ac:dyDescent="0.3">
      <c r="A511" s="130"/>
      <c r="B511" s="1144" t="s">
        <v>787</v>
      </c>
      <c r="C511" s="1144"/>
      <c r="D511" s="1144"/>
      <c r="E511" s="205">
        <f t="shared" ref="E511:E512" si="29">+$E$506</f>
        <v>34</v>
      </c>
      <c r="F511" s="205">
        <v>5</v>
      </c>
      <c r="G511" s="205">
        <v>1.55</v>
      </c>
      <c r="H511" s="205">
        <v>6</v>
      </c>
      <c r="I511" s="205">
        <f>+E511</f>
        <v>34</v>
      </c>
      <c r="J511" s="141">
        <v>0.7</v>
      </c>
      <c r="K511" s="141">
        <f t="shared" si="27"/>
        <v>227.8</v>
      </c>
      <c r="L511" s="141">
        <f t="shared" si="28"/>
        <v>353.09000000000003</v>
      </c>
    </row>
    <row r="512" spans="1:12" x14ac:dyDescent="0.3">
      <c r="A512" s="130"/>
      <c r="B512" s="1144" t="s">
        <v>788</v>
      </c>
      <c r="C512" s="1144"/>
      <c r="D512" s="1144"/>
      <c r="E512" s="205">
        <f t="shared" si="29"/>
        <v>34</v>
      </c>
      <c r="F512" s="205">
        <v>4</v>
      </c>
      <c r="G512" s="205">
        <v>1</v>
      </c>
      <c r="H512" s="205">
        <v>2.1800000000000002</v>
      </c>
      <c r="I512" s="205">
        <f>+E512</f>
        <v>34</v>
      </c>
      <c r="J512" s="141">
        <v>0.56000000000000005</v>
      </c>
      <c r="K512" s="141">
        <f t="shared" si="27"/>
        <v>93.160000000000011</v>
      </c>
      <c r="L512" s="141">
        <f t="shared" si="28"/>
        <v>93.160000000000011</v>
      </c>
    </row>
    <row r="513" spans="1:12" ht="16.5" customHeight="1" x14ac:dyDescent="0.3">
      <c r="A513" s="130"/>
      <c r="B513" s="1145" t="s">
        <v>584</v>
      </c>
      <c r="C513" s="1145"/>
      <c r="D513" s="1145"/>
      <c r="E513" s="1145"/>
      <c r="F513" s="1145"/>
      <c r="G513" s="1145"/>
      <c r="H513" s="1145"/>
      <c r="I513" s="1145"/>
      <c r="J513" s="1145"/>
      <c r="K513" s="1145"/>
      <c r="L513" s="221">
        <f>SUM(L506:L512)</f>
        <v>1164.6456000000001</v>
      </c>
    </row>
    <row r="514" spans="1:12" x14ac:dyDescent="0.3">
      <c r="A514" s="130"/>
    </row>
    <row r="515" spans="1:12" x14ac:dyDescent="0.3">
      <c r="A515" s="130"/>
      <c r="B515" s="1149" t="s">
        <v>789</v>
      </c>
      <c r="C515" s="1149"/>
      <c r="D515" s="1149"/>
      <c r="E515" s="1149"/>
      <c r="F515" s="1149"/>
      <c r="G515" s="1149"/>
      <c r="H515" s="1149"/>
      <c r="I515" s="1149"/>
      <c r="J515" s="1149"/>
      <c r="K515" s="1149"/>
      <c r="L515" s="1149"/>
    </row>
    <row r="516" spans="1:12" ht="41.4" x14ac:dyDescent="0.3">
      <c r="A516" s="130"/>
      <c r="B516" s="1150" t="s">
        <v>553</v>
      </c>
      <c r="C516" s="1150"/>
      <c r="D516" s="1150"/>
      <c r="E516" s="203" t="s">
        <v>559</v>
      </c>
      <c r="F516" s="203" t="s">
        <v>683</v>
      </c>
      <c r="G516" s="203" t="s">
        <v>684</v>
      </c>
      <c r="H516" s="203" t="s">
        <v>685</v>
      </c>
      <c r="I516" s="203" t="s">
        <v>686</v>
      </c>
      <c r="J516" s="203" t="s">
        <v>687</v>
      </c>
      <c r="K516" s="203" t="s">
        <v>688</v>
      </c>
      <c r="L516" s="203" t="s">
        <v>689</v>
      </c>
    </row>
    <row r="517" spans="1:12" x14ac:dyDescent="0.3">
      <c r="A517" s="130"/>
      <c r="B517" s="1144" t="s">
        <v>782</v>
      </c>
      <c r="C517" s="1144"/>
      <c r="D517" s="1144"/>
      <c r="E517" s="205">
        <f>ROUNDUP(5/0.15,0)</f>
        <v>34</v>
      </c>
      <c r="F517" s="205">
        <v>4</v>
      </c>
      <c r="G517" s="205">
        <v>1</v>
      </c>
      <c r="H517" s="205">
        <v>6</v>
      </c>
      <c r="I517" s="205">
        <v>0</v>
      </c>
      <c r="J517" s="141">
        <v>0.56000000000000005</v>
      </c>
      <c r="K517" s="141">
        <f t="shared" ref="K517:K523" si="30">+H517*E517+I517*J517</f>
        <v>204</v>
      </c>
      <c r="L517" s="141">
        <f t="shared" ref="L517:L523" si="31">+K517*G517</f>
        <v>204</v>
      </c>
    </row>
    <row r="518" spans="1:12" x14ac:dyDescent="0.3">
      <c r="A518" s="127"/>
      <c r="B518" s="1144" t="s">
        <v>783</v>
      </c>
      <c r="C518" s="1144"/>
      <c r="D518" s="1144"/>
      <c r="E518" s="205">
        <v>33</v>
      </c>
      <c r="F518" s="205">
        <v>4</v>
      </c>
      <c r="G518" s="205">
        <v>1</v>
      </c>
      <c r="H518" s="205">
        <v>5</v>
      </c>
      <c r="I518" s="205">
        <f>+E518</f>
        <v>33</v>
      </c>
      <c r="J518" s="141">
        <v>0.56000000000000005</v>
      </c>
      <c r="K518" s="141">
        <f t="shared" si="30"/>
        <v>183.48</v>
      </c>
      <c r="L518" s="141">
        <f t="shared" si="31"/>
        <v>183.48</v>
      </c>
    </row>
    <row r="519" spans="1:12" x14ac:dyDescent="0.3">
      <c r="A519" s="127"/>
      <c r="B519" s="1144" t="s">
        <v>784</v>
      </c>
      <c r="C519" s="1144"/>
      <c r="D519" s="1144"/>
      <c r="E519" s="205">
        <f>+$E$506</f>
        <v>34</v>
      </c>
      <c r="F519" s="205">
        <v>5</v>
      </c>
      <c r="G519" s="205">
        <v>1.55</v>
      </c>
      <c r="H519" s="205">
        <v>3.66</v>
      </c>
      <c r="I519" s="205">
        <v>0</v>
      </c>
      <c r="J519" s="141">
        <v>0.7</v>
      </c>
      <c r="K519" s="141">
        <f t="shared" si="30"/>
        <v>124.44</v>
      </c>
      <c r="L519" s="141">
        <f t="shared" si="31"/>
        <v>192.88200000000001</v>
      </c>
    </row>
    <row r="520" spans="1:12" x14ac:dyDescent="0.3">
      <c r="A520" s="127"/>
      <c r="B520" s="1144" t="s">
        <v>785</v>
      </c>
      <c r="C520" s="1144"/>
      <c r="D520" s="1144"/>
      <c r="E520" s="205">
        <v>18</v>
      </c>
      <c r="F520" s="205">
        <v>3</v>
      </c>
      <c r="G520" s="205">
        <v>0.56000000000000005</v>
      </c>
      <c r="H520" s="205">
        <v>5</v>
      </c>
      <c r="I520" s="205">
        <f>+E520</f>
        <v>18</v>
      </c>
      <c r="J520" s="141">
        <v>0.42</v>
      </c>
      <c r="K520" s="141">
        <f t="shared" si="30"/>
        <v>97.56</v>
      </c>
      <c r="L520" s="141">
        <f t="shared" si="31"/>
        <v>54.633600000000008</v>
      </c>
    </row>
    <row r="521" spans="1:12" x14ac:dyDescent="0.3">
      <c r="A521" s="127"/>
      <c r="B521" s="1144" t="s">
        <v>786</v>
      </c>
      <c r="C521" s="1144"/>
      <c r="D521" s="1144"/>
      <c r="E521" s="205">
        <v>15</v>
      </c>
      <c r="F521" s="205">
        <v>4</v>
      </c>
      <c r="G521" s="205">
        <v>1</v>
      </c>
      <c r="H521" s="205">
        <v>5</v>
      </c>
      <c r="I521" s="205">
        <f>+E521</f>
        <v>15</v>
      </c>
      <c r="J521" s="141">
        <v>0.56000000000000005</v>
      </c>
      <c r="K521" s="141">
        <f t="shared" si="30"/>
        <v>83.4</v>
      </c>
      <c r="L521" s="141">
        <f t="shared" si="31"/>
        <v>83.4</v>
      </c>
    </row>
    <row r="522" spans="1:12" x14ac:dyDescent="0.3">
      <c r="A522" s="130"/>
      <c r="B522" s="1144" t="s">
        <v>787</v>
      </c>
      <c r="C522" s="1144"/>
      <c r="D522" s="1144"/>
      <c r="E522" s="205">
        <f t="shared" ref="E522:E523" si="32">+$E$506</f>
        <v>34</v>
      </c>
      <c r="F522" s="205">
        <v>5</v>
      </c>
      <c r="G522" s="205">
        <v>1.55</v>
      </c>
      <c r="H522" s="205">
        <v>6</v>
      </c>
      <c r="I522" s="205">
        <f>+E522</f>
        <v>34</v>
      </c>
      <c r="J522" s="141">
        <v>0.7</v>
      </c>
      <c r="K522" s="141">
        <f t="shared" si="30"/>
        <v>227.8</v>
      </c>
      <c r="L522" s="141">
        <f t="shared" si="31"/>
        <v>353.09000000000003</v>
      </c>
    </row>
    <row r="523" spans="1:12" x14ac:dyDescent="0.3">
      <c r="A523" s="127"/>
      <c r="B523" s="1144" t="s">
        <v>788</v>
      </c>
      <c r="C523" s="1144"/>
      <c r="D523" s="1144"/>
      <c r="E523" s="205">
        <f t="shared" si="32"/>
        <v>34</v>
      </c>
      <c r="F523" s="205">
        <v>4</v>
      </c>
      <c r="G523" s="205">
        <v>1</v>
      </c>
      <c r="H523" s="205">
        <v>2.1800000000000002</v>
      </c>
      <c r="I523" s="205">
        <f>+E523</f>
        <v>34</v>
      </c>
      <c r="J523" s="141">
        <v>0.56000000000000005</v>
      </c>
      <c r="K523" s="141">
        <f t="shared" si="30"/>
        <v>93.160000000000011</v>
      </c>
      <c r="L523" s="141">
        <f t="shared" si="31"/>
        <v>93.160000000000011</v>
      </c>
    </row>
    <row r="524" spans="1:12" x14ac:dyDescent="0.3">
      <c r="A524" s="127"/>
      <c r="B524" s="1145" t="s">
        <v>584</v>
      </c>
      <c r="C524" s="1145"/>
      <c r="D524" s="1145"/>
      <c r="E524" s="1145"/>
      <c r="F524" s="1145"/>
      <c r="G524" s="1145"/>
      <c r="H524" s="1145"/>
      <c r="I524" s="1145"/>
      <c r="J524" s="1145"/>
      <c r="K524" s="1145"/>
      <c r="L524" s="221">
        <f>SUM(L517:L523)</f>
        <v>1164.6456000000001</v>
      </c>
    </row>
    <row r="525" spans="1:12" x14ac:dyDescent="0.3">
      <c r="A525" s="130"/>
      <c r="K525" s="147"/>
    </row>
    <row r="526" spans="1:12" x14ac:dyDescent="0.3">
      <c r="A526" s="130"/>
      <c r="B526" s="1149" t="s">
        <v>790</v>
      </c>
      <c r="C526" s="1149"/>
      <c r="D526" s="1149"/>
      <c r="E526" s="1149"/>
      <c r="F526" s="1149"/>
      <c r="G526" s="1149"/>
      <c r="H526" s="1149"/>
      <c r="I526" s="1149"/>
      <c r="J526" s="1149"/>
      <c r="K526" s="1149"/>
      <c r="L526" s="1149"/>
    </row>
    <row r="527" spans="1:12" ht="41.4" x14ac:dyDescent="0.3">
      <c r="A527" s="130"/>
      <c r="B527" s="1150" t="s">
        <v>553</v>
      </c>
      <c r="C527" s="1150"/>
      <c r="D527" s="1150"/>
      <c r="E527" s="203" t="s">
        <v>559</v>
      </c>
      <c r="F527" s="203" t="s">
        <v>683</v>
      </c>
      <c r="G527" s="203" t="s">
        <v>684</v>
      </c>
      <c r="H527" s="203" t="s">
        <v>685</v>
      </c>
      <c r="I527" s="203" t="s">
        <v>686</v>
      </c>
      <c r="J527" s="203" t="s">
        <v>687</v>
      </c>
      <c r="K527" s="203" t="s">
        <v>688</v>
      </c>
      <c r="L527" s="203" t="s">
        <v>689</v>
      </c>
    </row>
    <row r="528" spans="1:12" x14ac:dyDescent="0.3">
      <c r="A528" s="130"/>
      <c r="B528" s="1144" t="s">
        <v>791</v>
      </c>
      <c r="C528" s="1144"/>
      <c r="D528" s="1144"/>
      <c r="E528" s="205">
        <f>ROUNDUP(300/0.15,0)</f>
        <v>2000</v>
      </c>
      <c r="F528" s="205">
        <v>4</v>
      </c>
      <c r="G528" s="205">
        <v>1</v>
      </c>
      <c r="H528" s="205">
        <v>1.71</v>
      </c>
      <c r="I528" s="205">
        <v>0</v>
      </c>
      <c r="J528" s="205">
        <v>0.56000000000000005</v>
      </c>
      <c r="K528" s="205">
        <f t="shared" ref="K528:K534" si="33">+H528*E528+I528*J528</f>
        <v>3420</v>
      </c>
      <c r="L528" s="205">
        <f>+K528*G528</f>
        <v>3420</v>
      </c>
    </row>
    <row r="529" spans="1:12" x14ac:dyDescent="0.3">
      <c r="A529" s="130"/>
      <c r="B529" s="1144" t="s">
        <v>792</v>
      </c>
      <c r="C529" s="1144"/>
      <c r="D529" s="1144"/>
      <c r="E529" s="205">
        <f>+$E$528</f>
        <v>2000</v>
      </c>
      <c r="F529" s="205">
        <v>4</v>
      </c>
      <c r="G529" s="205">
        <v>1</v>
      </c>
      <c r="H529" s="205">
        <v>1.71</v>
      </c>
      <c r="I529" s="205">
        <v>0</v>
      </c>
      <c r="J529" s="205">
        <v>0.56000000000000005</v>
      </c>
      <c r="K529" s="205">
        <f t="shared" si="33"/>
        <v>3420</v>
      </c>
      <c r="L529" s="205">
        <f>+K529*G529</f>
        <v>3420</v>
      </c>
    </row>
    <row r="530" spans="1:12" x14ac:dyDescent="0.3">
      <c r="A530" s="130"/>
      <c r="B530" s="1144" t="s">
        <v>783</v>
      </c>
      <c r="C530" s="1144"/>
      <c r="D530" s="1144"/>
      <c r="E530" s="205">
        <f>14*(ROUND(300/6,0))</f>
        <v>700</v>
      </c>
      <c r="F530" s="205">
        <v>4</v>
      </c>
      <c r="G530" s="205">
        <v>1</v>
      </c>
      <c r="H530" s="205">
        <v>6</v>
      </c>
      <c r="I530" s="205">
        <f>+E530</f>
        <v>700</v>
      </c>
      <c r="J530" s="205">
        <v>0.56000000000000005</v>
      </c>
      <c r="K530" s="205">
        <f t="shared" si="33"/>
        <v>4592</v>
      </c>
      <c r="L530" s="205">
        <f t="shared" ref="L530" si="34">+K530*G530</f>
        <v>4592</v>
      </c>
    </row>
    <row r="531" spans="1:12" x14ac:dyDescent="0.3">
      <c r="A531" s="130"/>
      <c r="B531" s="1144" t="s">
        <v>787</v>
      </c>
      <c r="C531" s="1144"/>
      <c r="D531" s="1144"/>
      <c r="E531" s="205">
        <f>+$E$528</f>
        <v>2000</v>
      </c>
      <c r="F531" s="205">
        <v>5</v>
      </c>
      <c r="G531" s="205">
        <v>1.55</v>
      </c>
      <c r="H531" s="205">
        <v>5</v>
      </c>
      <c r="I531" s="205">
        <f>+E531</f>
        <v>2000</v>
      </c>
      <c r="J531" s="205">
        <v>0.7</v>
      </c>
      <c r="K531" s="205">
        <f t="shared" si="33"/>
        <v>11400</v>
      </c>
      <c r="L531" s="205">
        <f>+K531*G531</f>
        <v>17670</v>
      </c>
    </row>
    <row r="532" spans="1:12" x14ac:dyDescent="0.3">
      <c r="A532" s="130"/>
      <c r="B532" s="1144" t="s">
        <v>793</v>
      </c>
      <c r="C532" s="1144"/>
      <c r="D532" s="1144"/>
      <c r="E532" s="205">
        <f>18*(ROUND(300/6,0))</f>
        <v>900</v>
      </c>
      <c r="F532" s="205">
        <v>3</v>
      </c>
      <c r="G532" s="205">
        <v>0.56000000000000005</v>
      </c>
      <c r="H532" s="205">
        <v>6</v>
      </c>
      <c r="I532" s="205">
        <f>+E532</f>
        <v>900</v>
      </c>
      <c r="J532" s="205">
        <v>0.42</v>
      </c>
      <c r="K532" s="205">
        <f t="shared" si="33"/>
        <v>5778</v>
      </c>
      <c r="L532" s="205">
        <f>+K532*G532</f>
        <v>3235.6800000000003</v>
      </c>
    </row>
    <row r="533" spans="1:12" x14ac:dyDescent="0.3">
      <c r="A533" s="130"/>
      <c r="B533" s="1144" t="s">
        <v>785</v>
      </c>
      <c r="C533" s="1144"/>
      <c r="D533" s="1144"/>
      <c r="E533" s="205">
        <f>15*(ROUND(300/6,0))</f>
        <v>750</v>
      </c>
      <c r="F533" s="205">
        <v>4</v>
      </c>
      <c r="G533" s="205">
        <v>1</v>
      </c>
      <c r="H533" s="205">
        <v>6</v>
      </c>
      <c r="I533" s="205">
        <f>+E533</f>
        <v>750</v>
      </c>
      <c r="J533" s="205">
        <v>0.56000000000000005</v>
      </c>
      <c r="K533" s="205">
        <f t="shared" si="33"/>
        <v>4920</v>
      </c>
      <c r="L533" s="205">
        <f>+K533*G533</f>
        <v>4920</v>
      </c>
    </row>
    <row r="534" spans="1:12" x14ac:dyDescent="0.3">
      <c r="A534" s="130"/>
      <c r="B534" s="1144" t="s">
        <v>788</v>
      </c>
      <c r="C534" s="1144"/>
      <c r="D534" s="1144"/>
      <c r="E534" s="205">
        <f>+$E$528</f>
        <v>2000</v>
      </c>
      <c r="F534" s="205">
        <v>4</v>
      </c>
      <c r="G534" s="205">
        <v>1</v>
      </c>
      <c r="H534" s="205">
        <v>2.16</v>
      </c>
      <c r="I534" s="205">
        <f>+E534</f>
        <v>2000</v>
      </c>
      <c r="J534" s="205">
        <v>0.56000000000000005</v>
      </c>
      <c r="K534" s="205">
        <f t="shared" si="33"/>
        <v>5440</v>
      </c>
      <c r="L534" s="205">
        <f>+K534*G534</f>
        <v>5440</v>
      </c>
    </row>
    <row r="535" spans="1:12" x14ac:dyDescent="0.3">
      <c r="A535" s="130"/>
      <c r="B535" s="1145" t="s">
        <v>584</v>
      </c>
      <c r="C535" s="1145"/>
      <c r="D535" s="1145"/>
      <c r="E535" s="1145"/>
      <c r="F535" s="1145"/>
      <c r="G535" s="1145"/>
      <c r="H535" s="1145"/>
      <c r="I535" s="1145"/>
      <c r="J535" s="1145"/>
      <c r="K535" s="1145"/>
      <c r="L535" s="221">
        <f>SUM(L528:L534)</f>
        <v>42697.68</v>
      </c>
    </row>
    <row r="536" spans="1:12" x14ac:dyDescent="0.3">
      <c r="A536" s="130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</row>
    <row r="537" spans="1:12" x14ac:dyDescent="0.3">
      <c r="A537" s="130"/>
      <c r="B537" s="1146" t="s">
        <v>794</v>
      </c>
      <c r="C537" s="1146"/>
      <c r="D537" s="1146"/>
      <c r="E537" s="1146"/>
      <c r="F537" s="1146"/>
      <c r="G537" s="1146"/>
      <c r="H537" s="1146"/>
      <c r="I537" s="1146"/>
      <c r="J537" s="1146"/>
      <c r="K537" s="1146"/>
      <c r="L537" s="142">
        <f>+L513+L524+L535</f>
        <v>45026.9712</v>
      </c>
    </row>
    <row r="538" spans="1:12" x14ac:dyDescent="0.3">
      <c r="A538" s="130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</row>
    <row r="539" spans="1:12" x14ac:dyDescent="0.3">
      <c r="A539" s="130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</row>
    <row r="540" spans="1:12" x14ac:dyDescent="0.3">
      <c r="A540" s="1147" t="s">
        <v>795</v>
      </c>
      <c r="B540" s="1147"/>
      <c r="C540" s="1147"/>
      <c r="D540" s="1147"/>
      <c r="E540" s="1147"/>
      <c r="F540" s="1147"/>
      <c r="G540" s="1147"/>
      <c r="H540" s="1147"/>
      <c r="I540" s="1147"/>
      <c r="J540" s="1147"/>
      <c r="K540" s="1147"/>
      <c r="L540" s="1147"/>
    </row>
    <row r="541" spans="1:12" x14ac:dyDescent="0.3">
      <c r="A541" s="130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</row>
    <row r="542" spans="1:12" x14ac:dyDescent="0.3">
      <c r="A542" s="132" t="str">
        <f>+PRESUPUESTO!B89</f>
        <v>ITE528</v>
      </c>
      <c r="B542" s="1148" t="str">
        <f>+PRESUPUESTO!C89</f>
        <v>JUNTA DE CONTRACCIÓN Y CONSTRUCCIÓN CON CINTA PVC V - 15</v>
      </c>
      <c r="C542" s="1148"/>
      <c r="D542" s="1148"/>
      <c r="E542" s="1148"/>
      <c r="F542" s="1148"/>
      <c r="G542" s="1148"/>
      <c r="H542" s="1148"/>
      <c r="I542" s="133" t="str">
        <f>+PRESUPUESTO!D89</f>
        <v>m</v>
      </c>
      <c r="J542" s="147"/>
      <c r="K542" s="147"/>
    </row>
    <row r="543" spans="1:12" ht="27.6" x14ac:dyDescent="0.3">
      <c r="A543" s="127"/>
      <c r="B543" s="1143" t="s">
        <v>553</v>
      </c>
      <c r="C543" s="1143"/>
      <c r="D543" s="1143"/>
      <c r="E543" s="1143"/>
      <c r="F543" s="1143"/>
      <c r="G543" s="140" t="s">
        <v>685</v>
      </c>
      <c r="H543" s="140" t="s">
        <v>744</v>
      </c>
      <c r="I543" s="140" t="s">
        <v>796</v>
      </c>
      <c r="J543" s="152"/>
      <c r="K543" s="147"/>
    </row>
    <row r="544" spans="1:12" ht="16.5" customHeight="1" x14ac:dyDescent="0.3">
      <c r="A544" s="127"/>
      <c r="B544" s="1140" t="s">
        <v>798</v>
      </c>
      <c r="C544" s="1141"/>
      <c r="D544" s="1141"/>
      <c r="E544" s="1141"/>
      <c r="F544" s="1142"/>
      <c r="G544" s="205">
        <v>310</v>
      </c>
      <c r="H544" s="141">
        <v>1</v>
      </c>
      <c r="I544" s="205">
        <f>+G544*H544</f>
        <v>310</v>
      </c>
      <c r="J544" s="154"/>
      <c r="K544" s="147"/>
    </row>
    <row r="545" spans="1:11" ht="16.5" customHeight="1" x14ac:dyDescent="0.3">
      <c r="A545" s="127"/>
      <c r="B545" s="1140" t="s">
        <v>797</v>
      </c>
      <c r="C545" s="1141"/>
      <c r="D545" s="1141"/>
      <c r="E545" s="1141"/>
      <c r="F545" s="1142"/>
      <c r="G545" s="205">
        <v>310</v>
      </c>
      <c r="H545" s="141">
        <v>1</v>
      </c>
      <c r="I545" s="205">
        <f>+G545*H545</f>
        <v>310</v>
      </c>
      <c r="J545" s="154"/>
      <c r="K545" s="147"/>
    </row>
    <row r="546" spans="1:11" ht="16.5" customHeight="1" x14ac:dyDescent="0.3">
      <c r="A546" s="127"/>
      <c r="B546" s="1140" t="s">
        <v>799</v>
      </c>
      <c r="C546" s="1141"/>
      <c r="D546" s="1141"/>
      <c r="E546" s="1141"/>
      <c r="F546" s="1142"/>
      <c r="G546" s="205">
        <v>4.5999999999999996</v>
      </c>
      <c r="H546" s="141">
        <v>17</v>
      </c>
      <c r="I546" s="205">
        <f>+G546*H546</f>
        <v>78.199999999999989</v>
      </c>
      <c r="J546" s="154"/>
      <c r="K546" s="147"/>
    </row>
    <row r="547" spans="1:11" x14ac:dyDescent="0.3">
      <c r="A547" s="127"/>
      <c r="B547" s="1137" t="s">
        <v>496</v>
      </c>
      <c r="C547" s="1138"/>
      <c r="D547" s="1138"/>
      <c r="E547" s="1138"/>
      <c r="F547" s="1138"/>
      <c r="G547" s="1138"/>
      <c r="H547" s="1139"/>
      <c r="I547" s="142">
        <f>SUM(I544:I546)</f>
        <v>698.2</v>
      </c>
      <c r="J547" s="147"/>
      <c r="K547" s="147"/>
    </row>
    <row r="548" spans="1:11" x14ac:dyDescent="0.3">
      <c r="A548" s="130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</row>
    <row r="549" spans="1:11" x14ac:dyDescent="0.3">
      <c r="A549" s="132" t="str">
        <f>+PRESUPUESTO!B90</f>
        <v>ITE5050</v>
      </c>
      <c r="B549" s="1148" t="str">
        <f>+PRESUPUESTO!C90</f>
        <v>JUNTA DE EXPANSIÓN CON CINTA PVC O-22, INCLUYE SELLADOR.</v>
      </c>
      <c r="C549" s="1148"/>
      <c r="D549" s="1148"/>
      <c r="E549" s="1148"/>
      <c r="F549" s="1148"/>
      <c r="G549" s="1148"/>
      <c r="H549" s="1148"/>
      <c r="I549" s="133" t="str">
        <f>+PRESUPUESTO!D90</f>
        <v>m</v>
      </c>
      <c r="J549" s="147"/>
      <c r="K549" s="147"/>
    </row>
    <row r="550" spans="1:11" ht="27.6" x14ac:dyDescent="0.3">
      <c r="A550" s="127"/>
      <c r="B550" s="1143" t="s">
        <v>553</v>
      </c>
      <c r="C550" s="1143"/>
      <c r="D550" s="1143"/>
      <c r="E550" s="1143"/>
      <c r="F550" s="1143"/>
      <c r="G550" s="220" t="s">
        <v>685</v>
      </c>
      <c r="H550" s="220" t="s">
        <v>744</v>
      </c>
      <c r="I550" s="220" t="s">
        <v>796</v>
      </c>
      <c r="J550" s="147"/>
      <c r="K550" s="147"/>
    </row>
    <row r="551" spans="1:11" x14ac:dyDescent="0.3">
      <c r="A551" s="127"/>
      <c r="B551" s="1140" t="s">
        <v>322</v>
      </c>
      <c r="C551" s="1141"/>
      <c r="D551" s="1141"/>
      <c r="E551" s="1141"/>
      <c r="F551" s="1142"/>
      <c r="G551" s="213">
        <v>4.5999999999999996</v>
      </c>
      <c r="H551" s="141">
        <v>17</v>
      </c>
      <c r="I551" s="213">
        <f>+G551*H551</f>
        <v>78.199999999999989</v>
      </c>
      <c r="J551" s="127"/>
      <c r="K551" s="127"/>
    </row>
    <row r="552" spans="1:11" x14ac:dyDescent="0.3">
      <c r="A552" s="127"/>
      <c r="B552" s="127"/>
      <c r="C552" s="127"/>
      <c r="D552" s="127"/>
      <c r="E552" s="127"/>
      <c r="F552" s="127"/>
      <c r="G552" s="127"/>
      <c r="H552" s="127"/>
      <c r="I552" s="142">
        <f>SUM(I551)</f>
        <v>78.199999999999989</v>
      </c>
      <c r="J552" s="127"/>
      <c r="K552" s="127"/>
    </row>
    <row r="553" spans="1:11" x14ac:dyDescent="0.3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1:11" x14ac:dyDescent="0.3">
      <c r="A554" s="132" t="str">
        <f>+PRESUPUESTO!B91</f>
        <v>ITE6709</v>
      </c>
      <c r="B554" s="1148" t="str">
        <f>+PRESUPUESTO!C91</f>
        <v>PUERTA EN TUBERÍA GALVANIZADA DE 1 ½" PARA CERRAMIENTO DE ACCESOS LATERALES, INCLUYE ENTRE OTROS EXCAVACIÓN, COLUMNAS DE 3.000 psi, REFUERZO, CHAPA, PASADOR</v>
      </c>
      <c r="C554" s="1148"/>
      <c r="D554" s="1148"/>
      <c r="E554" s="1148"/>
      <c r="F554" s="1148"/>
      <c r="G554" s="1148"/>
      <c r="H554" s="1148"/>
      <c r="I554" s="133" t="str">
        <f>+PRESUPUESTO!D91</f>
        <v>Und</v>
      </c>
      <c r="J554" s="127"/>
      <c r="K554" s="127"/>
    </row>
    <row r="555" spans="1:11" x14ac:dyDescent="0.3">
      <c r="A555" s="127"/>
      <c r="B555" s="1143" t="s">
        <v>553</v>
      </c>
      <c r="C555" s="1143"/>
      <c r="D555" s="1143"/>
      <c r="E555" s="1143"/>
      <c r="F555" s="1143"/>
      <c r="G555" s="1143"/>
      <c r="H555" s="1143"/>
      <c r="I555" s="211" t="s">
        <v>113</v>
      </c>
      <c r="J555" s="127"/>
      <c r="K555" s="127"/>
    </row>
    <row r="556" spans="1:11" x14ac:dyDescent="0.3">
      <c r="A556" s="127"/>
      <c r="B556" s="1180" t="s">
        <v>800</v>
      </c>
      <c r="C556" s="1180"/>
      <c r="D556" s="1180"/>
      <c r="E556" s="1180"/>
      <c r="F556" s="1180"/>
      <c r="G556" s="1180"/>
      <c r="H556" s="1180"/>
      <c r="I556" s="151">
        <v>1</v>
      </c>
      <c r="J556" s="127"/>
      <c r="K556" s="127"/>
    </row>
    <row r="557" spans="1:11" x14ac:dyDescent="0.3">
      <c r="A557" s="127"/>
      <c r="B557" s="1180" t="s">
        <v>801</v>
      </c>
      <c r="C557" s="1180"/>
      <c r="D557" s="1180"/>
      <c r="E557" s="1180"/>
      <c r="F557" s="1180"/>
      <c r="G557" s="1180"/>
      <c r="H557" s="1180"/>
      <c r="I557" s="151">
        <v>1</v>
      </c>
      <c r="J557" s="127"/>
      <c r="K557" s="127"/>
    </row>
    <row r="558" spans="1:11" x14ac:dyDescent="0.3">
      <c r="A558" s="127"/>
      <c r="B558" s="1180" t="s">
        <v>802</v>
      </c>
      <c r="C558" s="1180"/>
      <c r="D558" s="1180"/>
      <c r="E558" s="1180"/>
      <c r="F558" s="1180"/>
      <c r="G558" s="1180"/>
      <c r="H558" s="1180"/>
      <c r="I558" s="151">
        <v>1</v>
      </c>
      <c r="J558" s="127"/>
      <c r="K558" s="127"/>
    </row>
    <row r="559" spans="1:11" x14ac:dyDescent="0.3">
      <c r="A559" s="127"/>
      <c r="B559" s="1137" t="s">
        <v>496</v>
      </c>
      <c r="C559" s="1138"/>
      <c r="D559" s="1138"/>
      <c r="E559" s="1138"/>
      <c r="F559" s="1138"/>
      <c r="G559" s="1138"/>
      <c r="H559" s="1139"/>
      <c r="I559" s="145">
        <f>SUM(I556:I558)</f>
        <v>3</v>
      </c>
      <c r="J559" s="127"/>
      <c r="K559" s="127"/>
    </row>
    <row r="560" spans="1:11" x14ac:dyDescent="0.3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1:18" x14ac:dyDescent="0.3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1:18" ht="15.6" x14ac:dyDescent="0.3">
      <c r="A562" s="1166" t="s">
        <v>201</v>
      </c>
      <c r="B562" s="1167"/>
      <c r="C562" s="1167"/>
      <c r="D562" s="1167"/>
      <c r="E562" s="1167"/>
      <c r="F562" s="1167"/>
      <c r="G562" s="1167"/>
      <c r="H562" s="1167"/>
      <c r="I562" s="1167"/>
      <c r="J562" s="1167"/>
      <c r="K562" s="127"/>
    </row>
    <row r="563" spans="1:18" x14ac:dyDescent="0.3">
      <c r="A563" s="130"/>
      <c r="B563" s="130"/>
      <c r="C563" s="130"/>
      <c r="D563" s="130"/>
      <c r="E563" s="131"/>
      <c r="F563" s="129"/>
      <c r="G563" s="127"/>
      <c r="H563" s="127"/>
      <c r="I563" s="127"/>
      <c r="K563" s="127"/>
    </row>
    <row r="564" spans="1:18" x14ac:dyDescent="0.3">
      <c r="A564" s="1147" t="s">
        <v>803</v>
      </c>
      <c r="B564" s="1147"/>
      <c r="C564" s="1147"/>
      <c r="D564" s="1147"/>
      <c r="E564" s="1147"/>
      <c r="F564" s="1147"/>
      <c r="G564" s="1147"/>
      <c r="H564" s="1147"/>
      <c r="I564" s="1147"/>
      <c r="K564" s="127"/>
    </row>
    <row r="566" spans="1:18" x14ac:dyDescent="0.3">
      <c r="A566" s="1147" t="s">
        <v>805</v>
      </c>
      <c r="B566" s="1147"/>
      <c r="C566" s="1147"/>
      <c r="D566" s="1147"/>
      <c r="E566" s="1147"/>
      <c r="F566" s="1147"/>
      <c r="G566" s="1147"/>
      <c r="H566" s="1147"/>
      <c r="I566" s="1147"/>
    </row>
    <row r="567" spans="1:18" ht="31.5" customHeight="1" x14ac:dyDescent="0.3">
      <c r="A567" s="1213" t="s">
        <v>806</v>
      </c>
      <c r="B567" s="1213"/>
      <c r="C567" s="1213"/>
      <c r="D567" s="1213"/>
      <c r="E567" s="1213"/>
      <c r="F567" s="1213"/>
      <c r="G567" s="1213"/>
      <c r="H567" s="1213"/>
      <c r="I567" s="1213"/>
    </row>
    <row r="568" spans="1:18" ht="31.5" customHeight="1" x14ac:dyDescent="0.3">
      <c r="A568" s="1213" t="s">
        <v>807</v>
      </c>
      <c r="B568" s="1213"/>
      <c r="C568" s="1213"/>
      <c r="D568" s="1213"/>
      <c r="E568" s="1213"/>
      <c r="F568" s="1213"/>
      <c r="G568" s="1213"/>
      <c r="H568" s="1213"/>
      <c r="I568" s="1213"/>
    </row>
    <row r="570" spans="1:18" x14ac:dyDescent="0.3">
      <c r="B570" s="1194" t="s">
        <v>612</v>
      </c>
      <c r="C570" s="1196"/>
      <c r="D570" s="1191" t="s">
        <v>613</v>
      </c>
      <c r="E570" s="1211" t="s">
        <v>614</v>
      </c>
      <c r="F570" s="1186" t="s">
        <v>615</v>
      </c>
      <c r="G570" s="1191" t="s">
        <v>616</v>
      </c>
      <c r="H570" s="1186" t="s">
        <v>617</v>
      </c>
      <c r="I570" s="1186"/>
      <c r="J570" s="1191" t="s">
        <v>618</v>
      </c>
      <c r="K570" s="1191" t="s">
        <v>619</v>
      </c>
      <c r="L570" s="1191" t="s">
        <v>620</v>
      </c>
      <c r="M570" s="1194" t="s">
        <v>621</v>
      </c>
      <c r="N570" s="1195"/>
      <c r="O570" s="1196"/>
      <c r="P570" s="1194" t="s">
        <v>622</v>
      </c>
      <c r="Q570" s="1195"/>
      <c r="R570" s="1196"/>
    </row>
    <row r="571" spans="1:18" x14ac:dyDescent="0.3">
      <c r="B571" s="1197"/>
      <c r="C571" s="1199"/>
      <c r="D571" s="1192"/>
      <c r="E571" s="1211"/>
      <c r="F571" s="1186"/>
      <c r="G571" s="1192"/>
      <c r="H571" s="1186"/>
      <c r="I571" s="1186"/>
      <c r="J571" s="1192"/>
      <c r="K571" s="1192"/>
      <c r="L571" s="1192"/>
      <c r="M571" s="1197"/>
      <c r="N571" s="1198"/>
      <c r="O571" s="1199"/>
      <c r="P571" s="1197"/>
      <c r="Q571" s="1198"/>
      <c r="R571" s="1199"/>
    </row>
    <row r="572" spans="1:18" ht="27.6" x14ac:dyDescent="0.3">
      <c r="B572" s="1187" t="s">
        <v>629</v>
      </c>
      <c r="C572" s="1187" t="s">
        <v>630</v>
      </c>
      <c r="D572" s="1193"/>
      <c r="E572" s="1211"/>
      <c r="F572" s="1186"/>
      <c r="G572" s="1193"/>
      <c r="H572" s="212" t="s">
        <v>631</v>
      </c>
      <c r="I572" s="212" t="s">
        <v>632</v>
      </c>
      <c r="J572" s="1193"/>
      <c r="K572" s="1193"/>
      <c r="L572" s="1193"/>
      <c r="M572" s="212" t="s">
        <v>633</v>
      </c>
      <c r="N572" s="212" t="s">
        <v>634</v>
      </c>
      <c r="O572" s="212" t="s">
        <v>635</v>
      </c>
      <c r="P572" s="212" t="s">
        <v>633</v>
      </c>
      <c r="Q572" s="212" t="s">
        <v>636</v>
      </c>
      <c r="R572" s="212" t="s">
        <v>635</v>
      </c>
    </row>
    <row r="573" spans="1:18" x14ac:dyDescent="0.3">
      <c r="B573" s="1188"/>
      <c r="C573" s="1188"/>
      <c r="D573" s="212" t="s">
        <v>639</v>
      </c>
      <c r="E573" s="1211"/>
      <c r="F573" s="212" t="s">
        <v>640</v>
      </c>
      <c r="G573" s="212" t="s">
        <v>639</v>
      </c>
      <c r="H573" s="212" t="s">
        <v>639</v>
      </c>
      <c r="I573" s="212" t="s">
        <v>639</v>
      </c>
      <c r="J573" s="212" t="s">
        <v>639</v>
      </c>
      <c r="K573" s="212" t="s">
        <v>639</v>
      </c>
      <c r="L573" s="212" t="s">
        <v>641</v>
      </c>
      <c r="M573" s="212" t="s">
        <v>639</v>
      </c>
      <c r="N573" s="212" t="s">
        <v>639</v>
      </c>
      <c r="O573" s="212" t="s">
        <v>642</v>
      </c>
      <c r="P573" s="212" t="s">
        <v>639</v>
      </c>
      <c r="Q573" s="212" t="s">
        <v>639</v>
      </c>
      <c r="R573" s="212" t="s">
        <v>642</v>
      </c>
    </row>
    <row r="574" spans="1:18" ht="17.399999999999999" x14ac:dyDescent="0.35">
      <c r="B574" s="188" t="s">
        <v>645</v>
      </c>
      <c r="C574" s="188" t="s">
        <v>646</v>
      </c>
      <c r="D574" s="189">
        <v>2.5275820671415659</v>
      </c>
      <c r="E574" s="190" t="s">
        <v>656</v>
      </c>
      <c r="F574" s="190">
        <v>1000</v>
      </c>
      <c r="G574" s="189">
        <v>3.8221885090729022</v>
      </c>
      <c r="H574" s="192">
        <v>1.1499999999999999</v>
      </c>
      <c r="I574" s="192">
        <v>2.5275820671415659</v>
      </c>
      <c r="J574" s="192">
        <v>0.2</v>
      </c>
      <c r="K574" s="170">
        <f>(I574+H574)/2+J574</f>
        <v>2.0387910335707828</v>
      </c>
      <c r="L574" s="170">
        <f t="shared" ref="L574:L583" si="35">G574*M574</f>
        <v>6.6314970632414854</v>
      </c>
      <c r="M574" s="170">
        <v>1.7350000000000001</v>
      </c>
      <c r="N574" s="170">
        <f>IF(K574&gt;2,2,K574)</f>
        <v>2</v>
      </c>
      <c r="O574" s="170">
        <f>+N574*M574*G574</f>
        <v>13.262994126482971</v>
      </c>
      <c r="P574" s="170">
        <f>+M574</f>
        <v>1.7350000000000001</v>
      </c>
      <c r="Q574" s="170">
        <f>IF(N574&lt;2,0,K574-2)</f>
        <v>3.879103357078284E-2</v>
      </c>
      <c r="R574" s="170">
        <f>Q574*P574*G574</f>
        <v>0.25724262520474828</v>
      </c>
    </row>
    <row r="575" spans="1:18" ht="17.399999999999999" x14ac:dyDescent="0.35">
      <c r="B575" s="188" t="s">
        <v>646</v>
      </c>
      <c r="C575" s="188" t="s">
        <v>647</v>
      </c>
      <c r="D575" s="189">
        <v>1.7307350348721684</v>
      </c>
      <c r="E575" s="190" t="s">
        <v>657</v>
      </c>
      <c r="F575" s="190">
        <v>900</v>
      </c>
      <c r="G575" s="189">
        <v>39.5984712457211</v>
      </c>
      <c r="H575" s="192">
        <v>2.5275820671415659</v>
      </c>
      <c r="I575" s="192">
        <v>1.7307350348721684</v>
      </c>
      <c r="J575" s="192">
        <v>0.2</v>
      </c>
      <c r="K575" s="170">
        <f t="shared" ref="K575:K583" si="36">(I575+H575)/2+J575</f>
        <v>2.3291585510068673</v>
      </c>
      <c r="L575" s="170">
        <f t="shared" si="35"/>
        <v>63.555546349382368</v>
      </c>
      <c r="M575" s="170">
        <v>1.605</v>
      </c>
      <c r="N575" s="170">
        <f t="shared" ref="N575:N583" si="37">IF(K575&gt;2,2,K575)</f>
        <v>2</v>
      </c>
      <c r="O575" s="170">
        <f t="shared" ref="O575:O583" si="38">+N575*M575*G575</f>
        <v>127.11109269876474</v>
      </c>
      <c r="P575" s="170">
        <f t="shared" ref="P575:P583" si="39">+M575</f>
        <v>1.605</v>
      </c>
      <c r="Q575" s="170">
        <f t="shared" ref="Q575:Q583" si="40">IF(N575&lt;2,0,K575-2)</f>
        <v>0.32915855100686731</v>
      </c>
      <c r="R575" s="170">
        <f t="shared" ref="R575:R583" si="41">Q575*P575*G575</f>
        <v>20.919851544812492</v>
      </c>
    </row>
    <row r="576" spans="1:18" ht="17.399999999999999" x14ac:dyDescent="0.35">
      <c r="B576" s="188" t="str">
        <f>+C575</f>
        <v>CM-02</v>
      </c>
      <c r="C576" s="188" t="s">
        <v>648</v>
      </c>
      <c r="D576" s="189">
        <v>1.8181245775838306</v>
      </c>
      <c r="E576" s="190" t="s">
        <v>657</v>
      </c>
      <c r="F576" s="190">
        <v>900</v>
      </c>
      <c r="G576" s="189">
        <v>20.519465806911448</v>
      </c>
      <c r="H576" s="192">
        <v>1.7307350348721684</v>
      </c>
      <c r="I576" s="192">
        <v>1.8181245775838306</v>
      </c>
      <c r="J576" s="192">
        <v>0.2</v>
      </c>
      <c r="K576" s="170">
        <f t="shared" si="36"/>
        <v>1.9744298062279995</v>
      </c>
      <c r="L576" s="170">
        <f t="shared" si="35"/>
        <v>32.933742620092872</v>
      </c>
      <c r="M576" s="170">
        <v>1.605</v>
      </c>
      <c r="N576" s="170">
        <f t="shared" si="37"/>
        <v>1.9744298062279995</v>
      </c>
      <c r="O576" s="170">
        <f t="shared" si="38"/>
        <v>65.025363059752777</v>
      </c>
      <c r="P576" s="170">
        <f t="shared" si="39"/>
        <v>1.605</v>
      </c>
      <c r="Q576" s="170">
        <f t="shared" si="40"/>
        <v>0</v>
      </c>
      <c r="R576" s="170">
        <f t="shared" si="41"/>
        <v>0</v>
      </c>
    </row>
    <row r="577" spans="1:18" ht="17.399999999999999" x14ac:dyDescent="0.35">
      <c r="B577" s="188" t="str">
        <f t="shared" ref="B577:B583" si="42">+C576</f>
        <v>CM-03</v>
      </c>
      <c r="C577" s="188" t="s">
        <v>649</v>
      </c>
      <c r="D577" s="189">
        <v>2.3703546838951297</v>
      </c>
      <c r="E577" s="190" t="s">
        <v>657</v>
      </c>
      <c r="F577" s="190">
        <v>900</v>
      </c>
      <c r="G577" s="189">
        <v>51.789153545914481</v>
      </c>
      <c r="H577" s="192">
        <v>1.8181245775838306</v>
      </c>
      <c r="I577" s="192">
        <v>2.3703546838951297</v>
      </c>
      <c r="J577" s="192">
        <v>0.2</v>
      </c>
      <c r="K577" s="170">
        <f t="shared" si="36"/>
        <v>2.2942396307394803</v>
      </c>
      <c r="L577" s="170">
        <f t="shared" si="35"/>
        <v>83.121591441192734</v>
      </c>
      <c r="M577" s="170">
        <v>1.605</v>
      </c>
      <c r="N577" s="170">
        <f t="shared" si="37"/>
        <v>2</v>
      </c>
      <c r="O577" s="170">
        <f t="shared" si="38"/>
        <v>166.24318288238547</v>
      </c>
      <c r="P577" s="170">
        <f t="shared" si="39"/>
        <v>1.605</v>
      </c>
      <c r="Q577" s="170">
        <f t="shared" si="40"/>
        <v>0.29423963073948034</v>
      </c>
      <c r="R577" s="170">
        <f t="shared" si="41"/>
        <v>24.457666372134501</v>
      </c>
    </row>
    <row r="578" spans="1:18" ht="17.399999999999999" x14ac:dyDescent="0.35">
      <c r="B578" s="188" t="str">
        <f t="shared" si="42"/>
        <v>CM-04</v>
      </c>
      <c r="C578" s="188" t="s">
        <v>650</v>
      </c>
      <c r="D578" s="189">
        <v>2.0863399269148886</v>
      </c>
      <c r="E578" s="190" t="s">
        <v>657</v>
      </c>
      <c r="F578" s="190">
        <v>900</v>
      </c>
      <c r="G578" s="189">
        <v>33.475052830415855</v>
      </c>
      <c r="H578" s="192">
        <v>2.3703546838951297</v>
      </c>
      <c r="I578" s="192">
        <v>2.0863399269148886</v>
      </c>
      <c r="J578" s="192">
        <v>0.2</v>
      </c>
      <c r="K578" s="170">
        <f t="shared" si="36"/>
        <v>2.4283473054050093</v>
      </c>
      <c r="L578" s="170">
        <f t="shared" si="35"/>
        <v>53.727459792817449</v>
      </c>
      <c r="M578" s="170">
        <v>1.605</v>
      </c>
      <c r="N578" s="170">
        <f t="shared" si="37"/>
        <v>2</v>
      </c>
      <c r="O578" s="170">
        <f t="shared" si="38"/>
        <v>107.4549195856349</v>
      </c>
      <c r="P578" s="170">
        <f t="shared" si="39"/>
        <v>1.605</v>
      </c>
      <c r="Q578" s="170">
        <f t="shared" si="40"/>
        <v>0.42834730540500932</v>
      </c>
      <c r="R578" s="170">
        <f t="shared" si="41"/>
        <v>23.014012628509334</v>
      </c>
    </row>
    <row r="579" spans="1:18" ht="17.399999999999999" x14ac:dyDescent="0.35">
      <c r="B579" s="188" t="str">
        <f t="shared" si="42"/>
        <v>CM-05</v>
      </c>
      <c r="C579" s="188" t="s">
        <v>651</v>
      </c>
      <c r="D579" s="189">
        <v>2.1325562750480458</v>
      </c>
      <c r="E579" s="190" t="s">
        <v>657</v>
      </c>
      <c r="F579" s="190">
        <v>900</v>
      </c>
      <c r="G579" s="189">
        <v>57.003553941974715</v>
      </c>
      <c r="H579" s="192">
        <v>2.0863399269148886</v>
      </c>
      <c r="I579" s="192">
        <v>2.1325562750480458</v>
      </c>
      <c r="J579" s="192">
        <v>0.2</v>
      </c>
      <c r="K579" s="170">
        <f t="shared" si="36"/>
        <v>2.3094481009814674</v>
      </c>
      <c r="L579" s="170">
        <f t="shared" si="35"/>
        <v>91.49070407686942</v>
      </c>
      <c r="M579" s="170">
        <v>1.605</v>
      </c>
      <c r="N579" s="170">
        <f t="shared" si="37"/>
        <v>2</v>
      </c>
      <c r="O579" s="170">
        <f t="shared" si="38"/>
        <v>182.98140815373884</v>
      </c>
      <c r="P579" s="170">
        <f t="shared" si="39"/>
        <v>1.605</v>
      </c>
      <c r="Q579" s="170">
        <f t="shared" si="40"/>
        <v>0.30944810098146736</v>
      </c>
      <c r="R579" s="170">
        <f t="shared" si="41"/>
        <v>28.311624634044634</v>
      </c>
    </row>
    <row r="580" spans="1:18" ht="17.399999999999999" x14ac:dyDescent="0.35">
      <c r="B580" s="188" t="str">
        <f t="shared" si="42"/>
        <v>CM-06</v>
      </c>
      <c r="C580" s="188" t="s">
        <v>652</v>
      </c>
      <c r="D580" s="189">
        <v>1.892706348535512</v>
      </c>
      <c r="E580" s="190" t="s">
        <v>657</v>
      </c>
      <c r="F580" s="190">
        <v>900</v>
      </c>
      <c r="G580" s="189">
        <v>35.684798584212047</v>
      </c>
      <c r="H580" s="192">
        <v>2.1325562750480458</v>
      </c>
      <c r="I580" s="192">
        <v>1.892706348535512</v>
      </c>
      <c r="J580" s="192">
        <v>0.2</v>
      </c>
      <c r="K580" s="170">
        <f t="shared" si="36"/>
        <v>2.2126313117917791</v>
      </c>
      <c r="L580" s="170">
        <f t="shared" si="35"/>
        <v>57.274101727660337</v>
      </c>
      <c r="M580" s="170">
        <v>1.605</v>
      </c>
      <c r="N580" s="170">
        <f t="shared" si="37"/>
        <v>2</v>
      </c>
      <c r="O580" s="170">
        <f t="shared" si="38"/>
        <v>114.54820345532067</v>
      </c>
      <c r="P580" s="170">
        <f t="shared" si="39"/>
        <v>1.605</v>
      </c>
      <c r="Q580" s="170">
        <f t="shared" si="40"/>
        <v>0.21263131179177908</v>
      </c>
      <c r="R580" s="170">
        <f t="shared" si="41"/>
        <v>12.178267382048217</v>
      </c>
    </row>
    <row r="581" spans="1:18" ht="17.399999999999999" x14ac:dyDescent="0.35">
      <c r="B581" s="188" t="str">
        <f t="shared" si="42"/>
        <v>CM-07</v>
      </c>
      <c r="C581" s="188" t="s">
        <v>653</v>
      </c>
      <c r="D581" s="189">
        <v>2.4077984529369587</v>
      </c>
      <c r="E581" s="190" t="s">
        <v>657</v>
      </c>
      <c r="F581" s="190">
        <v>900</v>
      </c>
      <c r="G581" s="189">
        <v>40.672196609027601</v>
      </c>
      <c r="H581" s="192">
        <v>1.892706348535512</v>
      </c>
      <c r="I581" s="192">
        <v>2.4077984529369587</v>
      </c>
      <c r="J581" s="192">
        <v>0.2</v>
      </c>
      <c r="K581" s="170">
        <f t="shared" si="36"/>
        <v>2.3502524007362355</v>
      </c>
      <c r="L581" s="170">
        <f t="shared" si="35"/>
        <v>65.2788755574893</v>
      </c>
      <c r="M581" s="170">
        <v>1.605</v>
      </c>
      <c r="N581" s="170">
        <f t="shared" si="37"/>
        <v>2</v>
      </c>
      <c r="O581" s="170">
        <f t="shared" si="38"/>
        <v>130.5577511149786</v>
      </c>
      <c r="P581" s="170">
        <f t="shared" si="39"/>
        <v>1.605</v>
      </c>
      <c r="Q581" s="170">
        <f t="shared" si="40"/>
        <v>0.35025240073623554</v>
      </c>
      <c r="R581" s="170">
        <f t="shared" si="41"/>
        <v>22.864082881372596</v>
      </c>
    </row>
    <row r="582" spans="1:18" ht="17.399999999999999" x14ac:dyDescent="0.35">
      <c r="B582" s="188" t="str">
        <f t="shared" si="42"/>
        <v>CM-08</v>
      </c>
      <c r="C582" s="188" t="s">
        <v>654</v>
      </c>
      <c r="D582" s="189">
        <v>2.714671662430419</v>
      </c>
      <c r="E582" s="190" t="s">
        <v>657</v>
      </c>
      <c r="F582" s="190">
        <v>900</v>
      </c>
      <c r="G582" s="189">
        <v>44.537654237742402</v>
      </c>
      <c r="H582" s="192">
        <v>2.4077984529369587</v>
      </c>
      <c r="I582" s="192">
        <v>2.714671662430419</v>
      </c>
      <c r="J582" s="192">
        <v>0.2</v>
      </c>
      <c r="K582" s="170">
        <f t="shared" si="36"/>
        <v>2.761235057683689</v>
      </c>
      <c r="L582" s="170">
        <f t="shared" si="35"/>
        <v>71.482935051576547</v>
      </c>
      <c r="M582" s="170">
        <v>1.605</v>
      </c>
      <c r="N582" s="170">
        <f t="shared" si="37"/>
        <v>2</v>
      </c>
      <c r="O582" s="170">
        <f t="shared" si="38"/>
        <v>142.96587010315309</v>
      </c>
      <c r="P582" s="170">
        <f t="shared" si="39"/>
        <v>1.605</v>
      </c>
      <c r="Q582" s="170">
        <f t="shared" si="40"/>
        <v>0.76123505768368904</v>
      </c>
      <c r="R582" s="170">
        <f t="shared" si="41"/>
        <v>54.415316187386274</v>
      </c>
    </row>
    <row r="583" spans="1:18" ht="17.399999999999999" x14ac:dyDescent="0.35">
      <c r="B583" s="188" t="str">
        <f t="shared" si="42"/>
        <v>CM-09</v>
      </c>
      <c r="C583" s="188" t="s">
        <v>655</v>
      </c>
      <c r="D583" s="189">
        <v>0</v>
      </c>
      <c r="E583" s="190" t="s">
        <v>656</v>
      </c>
      <c r="F583" s="190">
        <v>1000</v>
      </c>
      <c r="G583" s="189">
        <v>3.8221351361823839</v>
      </c>
      <c r="H583" s="192">
        <v>2.714671662430419</v>
      </c>
      <c r="I583" s="192">
        <v>2.96</v>
      </c>
      <c r="J583" s="192">
        <v>0.2</v>
      </c>
      <c r="K583" s="170">
        <f t="shared" si="36"/>
        <v>3.0373358312152097</v>
      </c>
      <c r="L583" s="170">
        <f t="shared" si="35"/>
        <v>6.6314044612764365</v>
      </c>
      <c r="M583" s="170">
        <v>1.7350000000000001</v>
      </c>
      <c r="N583" s="170">
        <f t="shared" si="37"/>
        <v>2</v>
      </c>
      <c r="O583" s="170">
        <f t="shared" si="38"/>
        <v>13.262808922552873</v>
      </c>
      <c r="P583" s="170">
        <f t="shared" si="39"/>
        <v>1.7350000000000001</v>
      </c>
      <c r="Q583" s="170">
        <f t="shared" si="40"/>
        <v>1.0373358312152097</v>
      </c>
      <c r="R583" s="170">
        <f t="shared" si="41"/>
        <v>6.8789934589624417</v>
      </c>
    </row>
    <row r="584" spans="1:18" x14ac:dyDescent="0.3">
      <c r="B584" s="173" t="s">
        <v>496</v>
      </c>
      <c r="C584" s="173"/>
      <c r="D584" s="191">
        <f>SUM(D574:D583)</f>
        <v>19.680869029358519</v>
      </c>
      <c r="E584" s="175"/>
      <c r="F584" s="175"/>
      <c r="G584" s="142">
        <f>SUM(G575:G582)</f>
        <v>323.28034680191962</v>
      </c>
      <c r="H584" s="174">
        <f>SUM(H575:H582)</f>
        <v>16.9661973669281</v>
      </c>
      <c r="I584" s="174"/>
      <c r="J584" s="175"/>
      <c r="K584" s="175"/>
      <c r="L584" s="176">
        <f>SUM(L574:L583)</f>
        <v>532.12785814159895</v>
      </c>
      <c r="M584" s="176"/>
      <c r="N584" s="173"/>
      <c r="O584" s="142">
        <f>SUM(O574:O583)</f>
        <v>1063.413594102765</v>
      </c>
      <c r="P584" s="177"/>
      <c r="Q584" s="173"/>
      <c r="R584" s="142">
        <f>SUM(R574:R583)</f>
        <v>193.29705771447524</v>
      </c>
    </row>
    <row r="586" spans="1:18" x14ac:dyDescent="0.3">
      <c r="A586" s="132" t="str">
        <f>+PRESUPUESTO!B98</f>
        <v>EPA0116</v>
      </c>
      <c r="B586" s="1148" t="str">
        <f>+PRESUPUESTO!C98</f>
        <v>LLENO COMPACTADO CON MATERIAL DEL SITIO</v>
      </c>
      <c r="C586" s="1148"/>
      <c r="D586" s="1148"/>
      <c r="E586" s="1148"/>
      <c r="F586" s="1148"/>
      <c r="G586" s="1148"/>
      <c r="H586" s="1148"/>
      <c r="I586" s="133" t="str">
        <f>+PRESUPUESTO!D98</f>
        <v>m3</v>
      </c>
    </row>
    <row r="587" spans="1:18" x14ac:dyDescent="0.3">
      <c r="A587" s="127"/>
      <c r="B587" s="1143" t="s">
        <v>553</v>
      </c>
      <c r="C587" s="1143"/>
      <c r="D587" s="1143"/>
      <c r="E587" s="1143"/>
      <c r="F587" s="1143"/>
      <c r="G587" s="1143"/>
      <c r="H587" s="1143"/>
      <c r="I587" s="211" t="s">
        <v>113</v>
      </c>
    </row>
    <row r="588" spans="1:18" x14ac:dyDescent="0.3">
      <c r="A588" s="127"/>
      <c r="B588" s="1180" t="s">
        <v>220</v>
      </c>
      <c r="C588" s="1180"/>
      <c r="D588" s="1180"/>
      <c r="E588" s="1180"/>
      <c r="F588" s="1180"/>
      <c r="G588" s="1180"/>
      <c r="H588" s="1180"/>
      <c r="I588" s="222">
        <f>+O584</f>
        <v>1063.413594102765</v>
      </c>
    </row>
    <row r="591" spans="1:18" ht="16.5" customHeight="1" x14ac:dyDescent="0.3">
      <c r="B591" s="130"/>
      <c r="C591" s="130"/>
      <c r="D591" s="130"/>
      <c r="E591" s="131"/>
      <c r="F591" s="129"/>
      <c r="G591" s="1158" t="s">
        <v>804</v>
      </c>
      <c r="H591" s="1158"/>
      <c r="I591" s="217">
        <v>0.1</v>
      </c>
      <c r="J591" s="223"/>
    </row>
    <row r="592" spans="1:18" x14ac:dyDescent="0.3">
      <c r="B592" s="1137" t="str">
        <f>+B586</f>
        <v>LLENO COMPACTADO CON MATERIAL DEL SITIO</v>
      </c>
      <c r="C592" s="1138"/>
      <c r="D592" s="1138"/>
      <c r="E592" s="1138"/>
      <c r="F592" s="1138"/>
      <c r="G592" s="1138"/>
      <c r="H592" s="1139"/>
      <c r="I592" s="142">
        <f>+I588*(1+I591)</f>
        <v>1169.7549535130418</v>
      </c>
      <c r="J592" s="218"/>
    </row>
  </sheetData>
  <mergeCells count="381">
    <mergeCell ref="G591:H591"/>
    <mergeCell ref="B592:H592"/>
    <mergeCell ref="P570:R571"/>
    <mergeCell ref="A568:I568"/>
    <mergeCell ref="K570:K572"/>
    <mergeCell ref="L570:L572"/>
    <mergeCell ref="M570:O571"/>
    <mergeCell ref="B586:H586"/>
    <mergeCell ref="B587:H587"/>
    <mergeCell ref="B588:H588"/>
    <mergeCell ref="A567:I567"/>
    <mergeCell ref="B556:H556"/>
    <mergeCell ref="B559:H559"/>
    <mergeCell ref="B557:H557"/>
    <mergeCell ref="B558:H558"/>
    <mergeCell ref="A562:J562"/>
    <mergeCell ref="A564:I564"/>
    <mergeCell ref="A566:I566"/>
    <mergeCell ref="B570:C571"/>
    <mergeCell ref="D570:D572"/>
    <mergeCell ref="E570:E573"/>
    <mergeCell ref="F570:F572"/>
    <mergeCell ref="G570:G572"/>
    <mergeCell ref="B572:B573"/>
    <mergeCell ref="C572:C573"/>
    <mergeCell ref="H570:I571"/>
    <mergeCell ref="J570:J572"/>
    <mergeCell ref="B332:H332"/>
    <mergeCell ref="B336:F336"/>
    <mergeCell ref="B335:F335"/>
    <mergeCell ref="B549:H549"/>
    <mergeCell ref="B550:F550"/>
    <mergeCell ref="B551:F551"/>
    <mergeCell ref="B554:H554"/>
    <mergeCell ref="B555:H555"/>
    <mergeCell ref="B198:E198"/>
    <mergeCell ref="B199:E199"/>
    <mergeCell ref="B200:E200"/>
    <mergeCell ref="B204:G204"/>
    <mergeCell ref="B208:G208"/>
    <mergeCell ref="B235:C235"/>
    <mergeCell ref="B323:H323"/>
    <mergeCell ref="B324:H324"/>
    <mergeCell ref="B325:H325"/>
    <mergeCell ref="B317:H317"/>
    <mergeCell ref="B318:H318"/>
    <mergeCell ref="B319:H319"/>
    <mergeCell ref="B320:H320"/>
    <mergeCell ref="B321:H321"/>
    <mergeCell ref="B237:C237"/>
    <mergeCell ref="H240:J240"/>
    <mergeCell ref="B97:E97"/>
    <mergeCell ref="B98:E98"/>
    <mergeCell ref="B99:E99"/>
    <mergeCell ref="B100:E100"/>
    <mergeCell ref="B103:H103"/>
    <mergeCell ref="B101:E101"/>
    <mergeCell ref="B102:E102"/>
    <mergeCell ref="B110:C111"/>
    <mergeCell ref="D110:D112"/>
    <mergeCell ref="E110:E113"/>
    <mergeCell ref="F110:F112"/>
    <mergeCell ref="G110:G112"/>
    <mergeCell ref="H110:I111"/>
    <mergeCell ref="B86:E86"/>
    <mergeCell ref="B32:E32"/>
    <mergeCell ref="B33:E33"/>
    <mergeCell ref="B50:G50"/>
    <mergeCell ref="B55:E55"/>
    <mergeCell ref="B56:E56"/>
    <mergeCell ref="B37:G37"/>
    <mergeCell ref="B38:E38"/>
    <mergeCell ref="B39:E39"/>
    <mergeCell ref="B40:E40"/>
    <mergeCell ref="B42:E42"/>
    <mergeCell ref="B43:E43"/>
    <mergeCell ref="B54:E54"/>
    <mergeCell ref="B41:E41"/>
    <mergeCell ref="B44:E44"/>
    <mergeCell ref="B45:G45"/>
    <mergeCell ref="B49:G49"/>
    <mergeCell ref="B34:E34"/>
    <mergeCell ref="B35:F35"/>
    <mergeCell ref="B68:E68"/>
    <mergeCell ref="B57:E57"/>
    <mergeCell ref="B53:E53"/>
    <mergeCell ref="B60:E60"/>
    <mergeCell ref="B61:E61"/>
    <mergeCell ref="B31:E31"/>
    <mergeCell ref="B25:E25"/>
    <mergeCell ref="B26:E26"/>
    <mergeCell ref="A1:C5"/>
    <mergeCell ref="D1:K1"/>
    <mergeCell ref="D2:K2"/>
    <mergeCell ref="D3:K3"/>
    <mergeCell ref="D4:K4"/>
    <mergeCell ref="D5:K5"/>
    <mergeCell ref="A7:H7"/>
    <mergeCell ref="A9:I9"/>
    <mergeCell ref="B27:E27"/>
    <mergeCell ref="B28:E28"/>
    <mergeCell ref="B29:E29"/>
    <mergeCell ref="B24:F24"/>
    <mergeCell ref="B30:E30"/>
    <mergeCell ref="B16:E16"/>
    <mergeCell ref="B20:E20"/>
    <mergeCell ref="B22:F22"/>
    <mergeCell ref="B11:G11"/>
    <mergeCell ref="B12:E12"/>
    <mergeCell ref="B13:E13"/>
    <mergeCell ref="B14:G14"/>
    <mergeCell ref="B17:E17"/>
    <mergeCell ref="B263:E263"/>
    <mergeCell ref="B210:H210"/>
    <mergeCell ref="B211:E211"/>
    <mergeCell ref="B217:F217"/>
    <mergeCell ref="B218:F218"/>
    <mergeCell ref="B219:F219"/>
    <mergeCell ref="B220:J220"/>
    <mergeCell ref="B216:J216"/>
    <mergeCell ref="A222:I222"/>
    <mergeCell ref="B249:D249"/>
    <mergeCell ref="B250:H250"/>
    <mergeCell ref="B224:H224"/>
    <mergeCell ref="B231:J231"/>
    <mergeCell ref="B226:C226"/>
    <mergeCell ref="B227:C227"/>
    <mergeCell ref="B228:C228"/>
    <mergeCell ref="B229:C229"/>
    <mergeCell ref="B230:C230"/>
    <mergeCell ref="B233:H233"/>
    <mergeCell ref="B241:J241"/>
    <mergeCell ref="B245:H245"/>
    <mergeCell ref="A243:I243"/>
    <mergeCell ref="B248:D248"/>
    <mergeCell ref="B247:D247"/>
    <mergeCell ref="B272:J272"/>
    <mergeCell ref="B279:G279"/>
    <mergeCell ref="B280:E280"/>
    <mergeCell ref="B274:F274"/>
    <mergeCell ref="B288:E288"/>
    <mergeCell ref="B290:I290"/>
    <mergeCell ref="H292:I292"/>
    <mergeCell ref="B293:I293"/>
    <mergeCell ref="B296:E296"/>
    <mergeCell ref="B18:E18"/>
    <mergeCell ref="B19:E19"/>
    <mergeCell ref="B236:C236"/>
    <mergeCell ref="B212:E212"/>
    <mergeCell ref="B213:E213"/>
    <mergeCell ref="B214:H214"/>
    <mergeCell ref="B205:G205"/>
    <mergeCell ref="B206:G206"/>
    <mergeCell ref="B207:G207"/>
    <mergeCell ref="B87:E87"/>
    <mergeCell ref="B85:H85"/>
    <mergeCell ref="B88:E88"/>
    <mergeCell ref="B89:E89"/>
    <mergeCell ref="B90:H90"/>
    <mergeCell ref="A92:I92"/>
    <mergeCell ref="A94:I94"/>
    <mergeCell ref="B96:H96"/>
    <mergeCell ref="B47:G47"/>
    <mergeCell ref="B48:G48"/>
    <mergeCell ref="B63:E63"/>
    <mergeCell ref="B66:G66"/>
    <mergeCell ref="B59:G59"/>
    <mergeCell ref="B62:E62"/>
    <mergeCell ref="B64:E64"/>
    <mergeCell ref="B65:E65"/>
    <mergeCell ref="B80:G80"/>
    <mergeCell ref="B81:E81"/>
    <mergeCell ref="B82:E82"/>
    <mergeCell ref="B83:G83"/>
    <mergeCell ref="B75:E75"/>
    <mergeCell ref="B76:E76"/>
    <mergeCell ref="B74:G74"/>
    <mergeCell ref="B77:G77"/>
    <mergeCell ref="B69:E69"/>
    <mergeCell ref="B70:E70"/>
    <mergeCell ref="B71:E71"/>
    <mergeCell ref="B72:E72"/>
    <mergeCell ref="X110:Y111"/>
    <mergeCell ref="Z110:Z112"/>
    <mergeCell ref="B112:B113"/>
    <mergeCell ref="C112:C113"/>
    <mergeCell ref="B109:F109"/>
    <mergeCell ref="B129:G129"/>
    <mergeCell ref="B130:E130"/>
    <mergeCell ref="B131:E131"/>
    <mergeCell ref="J110:J112"/>
    <mergeCell ref="K110:K112"/>
    <mergeCell ref="L110:L112"/>
    <mergeCell ref="M110:O111"/>
    <mergeCell ref="P110:R111"/>
    <mergeCell ref="S110:S112"/>
    <mergeCell ref="T110:T112"/>
    <mergeCell ref="U110:U112"/>
    <mergeCell ref="V110:V112"/>
    <mergeCell ref="B142:H142"/>
    <mergeCell ref="B143:E143"/>
    <mergeCell ref="B144:E144"/>
    <mergeCell ref="B145:H145"/>
    <mergeCell ref="A105:I105"/>
    <mergeCell ref="A106:I106"/>
    <mergeCell ref="A107:I107"/>
    <mergeCell ref="A147:I147"/>
    <mergeCell ref="W110:W112"/>
    <mergeCell ref="B132:G132"/>
    <mergeCell ref="B134:G134"/>
    <mergeCell ref="B135:E135"/>
    <mergeCell ref="B136:E136"/>
    <mergeCell ref="B140:G140"/>
    <mergeCell ref="B137:E137"/>
    <mergeCell ref="B138:E138"/>
    <mergeCell ref="B139:E139"/>
    <mergeCell ref="A174:I174"/>
    <mergeCell ref="B176:H176"/>
    <mergeCell ref="B177:E177"/>
    <mergeCell ref="B178:E178"/>
    <mergeCell ref="B179:H179"/>
    <mergeCell ref="B182:E182"/>
    <mergeCell ref="B183:E183"/>
    <mergeCell ref="B150:H150"/>
    <mergeCell ref="B156:H156"/>
    <mergeCell ref="B162:H162"/>
    <mergeCell ref="B168:E168"/>
    <mergeCell ref="B169:E169"/>
    <mergeCell ref="B170:E170"/>
    <mergeCell ref="B172:E172"/>
    <mergeCell ref="B171:E171"/>
    <mergeCell ref="B193:E193"/>
    <mergeCell ref="B194:E194"/>
    <mergeCell ref="B195:E195"/>
    <mergeCell ref="B196:E196"/>
    <mergeCell ref="B197:E197"/>
    <mergeCell ref="B201:E201"/>
    <mergeCell ref="B202:E202"/>
    <mergeCell ref="B191:E191"/>
    <mergeCell ref="B184:E184"/>
    <mergeCell ref="B185:E185"/>
    <mergeCell ref="B186:E186"/>
    <mergeCell ref="B187:E187"/>
    <mergeCell ref="B188:E188"/>
    <mergeCell ref="B189:E189"/>
    <mergeCell ref="B190:E190"/>
    <mergeCell ref="B261:E261"/>
    <mergeCell ref="B262:E262"/>
    <mergeCell ref="B252:H252"/>
    <mergeCell ref="B254:D254"/>
    <mergeCell ref="B255:D255"/>
    <mergeCell ref="B256:D256"/>
    <mergeCell ref="B257:H257"/>
    <mergeCell ref="B259:H259"/>
    <mergeCell ref="B289:E289"/>
    <mergeCell ref="B287:I287"/>
    <mergeCell ref="B275:F275"/>
    <mergeCell ref="B276:F276"/>
    <mergeCell ref="B281:E281"/>
    <mergeCell ref="B283:G283"/>
    <mergeCell ref="B282:E282"/>
    <mergeCell ref="B265:H265"/>
    <mergeCell ref="B267:F267"/>
    <mergeCell ref="B268:F268"/>
    <mergeCell ref="B269:F269"/>
    <mergeCell ref="B270:F270"/>
    <mergeCell ref="G274:H274"/>
    <mergeCell ref="G275:H275"/>
    <mergeCell ref="G276:H276"/>
    <mergeCell ref="B277:J277"/>
    <mergeCell ref="B297:E297"/>
    <mergeCell ref="B298:E298"/>
    <mergeCell ref="B302:E302"/>
    <mergeCell ref="B299:E299"/>
    <mergeCell ref="B300:E300"/>
    <mergeCell ref="B301:E301"/>
    <mergeCell ref="B304:E304"/>
    <mergeCell ref="B305:E305"/>
    <mergeCell ref="A347:J347"/>
    <mergeCell ref="B306:E306"/>
    <mergeCell ref="B307:E307"/>
    <mergeCell ref="B308:E308"/>
    <mergeCell ref="B310:H310"/>
    <mergeCell ref="B312:E312"/>
    <mergeCell ref="F312:G312"/>
    <mergeCell ref="B313:E313"/>
    <mergeCell ref="B314:E314"/>
    <mergeCell ref="B315:K315"/>
    <mergeCell ref="B326:H326"/>
    <mergeCell ref="B327:H327"/>
    <mergeCell ref="B329:H329"/>
    <mergeCell ref="B330:H330"/>
    <mergeCell ref="B331:H331"/>
    <mergeCell ref="G344:H344"/>
    <mergeCell ref="A349:I349"/>
    <mergeCell ref="B334:H334"/>
    <mergeCell ref="B337:F337"/>
    <mergeCell ref="B338:F338"/>
    <mergeCell ref="B339:F339"/>
    <mergeCell ref="B340:F340"/>
    <mergeCell ref="B341:F341"/>
    <mergeCell ref="B342:H342"/>
    <mergeCell ref="B351:H351"/>
    <mergeCell ref="B345:H345"/>
    <mergeCell ref="B458:H458"/>
    <mergeCell ref="B459:E459"/>
    <mergeCell ref="B460:E460"/>
    <mergeCell ref="B461:H461"/>
    <mergeCell ref="B463:H463"/>
    <mergeCell ref="B465:H465"/>
    <mergeCell ref="B464:H464"/>
    <mergeCell ref="B418:D418"/>
    <mergeCell ref="B420:D420"/>
    <mergeCell ref="B421:D421"/>
    <mergeCell ref="B423:H423"/>
    <mergeCell ref="B456:D456"/>
    <mergeCell ref="A480:I480"/>
    <mergeCell ref="B484:F484"/>
    <mergeCell ref="B483:F483"/>
    <mergeCell ref="B482:I482"/>
    <mergeCell ref="B485:I485"/>
    <mergeCell ref="B466:H466"/>
    <mergeCell ref="B469:H469"/>
    <mergeCell ref="B467:H467"/>
    <mergeCell ref="B471:H471"/>
    <mergeCell ref="B473:H473"/>
    <mergeCell ref="B474:E474"/>
    <mergeCell ref="B475:E475"/>
    <mergeCell ref="B477:H477"/>
    <mergeCell ref="B476:E476"/>
    <mergeCell ref="B487:I487"/>
    <mergeCell ref="B488:F488"/>
    <mergeCell ref="B489:F489"/>
    <mergeCell ref="B490:I490"/>
    <mergeCell ref="B492:I492"/>
    <mergeCell ref="B496:G496"/>
    <mergeCell ref="B497:G497"/>
    <mergeCell ref="B498:J498"/>
    <mergeCell ref="B493:G493"/>
    <mergeCell ref="B494:G494"/>
    <mergeCell ref="B495:G495"/>
    <mergeCell ref="A500:L500"/>
    <mergeCell ref="B502:K502"/>
    <mergeCell ref="B515:L515"/>
    <mergeCell ref="B516:D516"/>
    <mergeCell ref="B517:D517"/>
    <mergeCell ref="B518:D518"/>
    <mergeCell ref="B519:D519"/>
    <mergeCell ref="B520:D520"/>
    <mergeCell ref="B521:D521"/>
    <mergeCell ref="B504:L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K513"/>
    <mergeCell ref="B522:D522"/>
    <mergeCell ref="B523:D523"/>
    <mergeCell ref="B524:K524"/>
    <mergeCell ref="B526:L526"/>
    <mergeCell ref="B527:D527"/>
    <mergeCell ref="B528:D528"/>
    <mergeCell ref="B529:D529"/>
    <mergeCell ref="B530:D530"/>
    <mergeCell ref="B531:D531"/>
    <mergeCell ref="B547:H547"/>
    <mergeCell ref="B544:F544"/>
    <mergeCell ref="B543:F543"/>
    <mergeCell ref="B545:F545"/>
    <mergeCell ref="B546:F546"/>
    <mergeCell ref="B532:D532"/>
    <mergeCell ref="B533:D533"/>
    <mergeCell ref="B534:D534"/>
    <mergeCell ref="B535:K535"/>
    <mergeCell ref="B537:K537"/>
    <mergeCell ref="A540:L540"/>
    <mergeCell ref="B542:H54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OFERTA</vt:lpstr>
      <vt:lpstr>GPT-R-021</vt:lpstr>
      <vt:lpstr>PRESUPUESTO</vt:lpstr>
      <vt:lpstr>APU</vt:lpstr>
      <vt:lpstr>M.O 2018</vt:lpstr>
      <vt:lpstr>M.O 2020</vt:lpstr>
      <vt:lpstr>especiales </vt:lpstr>
      <vt:lpstr>CANTIDADES</vt:lpstr>
      <vt:lpstr>APU!Área_de_impresión</vt:lpstr>
      <vt:lpstr>'especiales '!Área_de_impresión</vt:lpstr>
      <vt:lpstr>'GPT-R-021'!Área_de_impresión</vt:lpstr>
      <vt:lpstr>OFERTA!Área_de_impresión</vt:lpstr>
      <vt:lpstr>PRESUPUESTO!Área_de_impresión</vt:lpstr>
      <vt:lpstr>APU!Títulos_a_imprimir</vt:lpstr>
      <vt:lpstr>'GPT-R-021'!Títulos_a_imprimir</vt:lpstr>
      <vt:lpstr>OFERTA!Títulos_a_imprimir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isabel lopez martinez</cp:lastModifiedBy>
  <cp:lastPrinted>2020-07-09T22:31:04Z</cp:lastPrinted>
  <dcterms:created xsi:type="dcterms:W3CDTF">2012-02-08T19:24:17Z</dcterms:created>
  <dcterms:modified xsi:type="dcterms:W3CDTF">2020-08-16T21:14:21Z</dcterms:modified>
</cp:coreProperties>
</file>